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C:\Users\Laura\Desktop\"/>
    </mc:Choice>
  </mc:AlternateContent>
  <bookViews>
    <workbookView xWindow="0" yWindow="465" windowWidth="28800" windowHeight="17460" tabRatio="500"/>
  </bookViews>
  <sheets>
    <sheet name="Energy value prediction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0" i="1" l="1"/>
  <c r="G49" i="1"/>
  <c r="G48" i="1"/>
  <c r="D31" i="1"/>
  <c r="D32" i="1"/>
  <c r="H14" i="1"/>
  <c r="G16" i="1"/>
  <c r="C20" i="1"/>
  <c r="C21" i="1"/>
  <c r="G62" i="1"/>
  <c r="AA29" i="1"/>
  <c r="AA30" i="1"/>
  <c r="AA31" i="1"/>
  <c r="AA25" i="1"/>
  <c r="AA26" i="1"/>
  <c r="AA27" i="1"/>
  <c r="AA32" i="1"/>
  <c r="AA28" i="1"/>
  <c r="AA35" i="1"/>
  <c r="AH29" i="1"/>
  <c r="AI29" i="1"/>
  <c r="AJ29" i="1"/>
  <c r="AC43" i="1"/>
  <c r="AD43" i="1"/>
  <c r="AE43" i="1"/>
  <c r="AH30" i="1"/>
  <c r="AI30" i="1"/>
  <c r="AJ30" i="1"/>
  <c r="AC44" i="1"/>
  <c r="AD44" i="1"/>
  <c r="AE44" i="1"/>
  <c r="AH31" i="1"/>
  <c r="AD45" i="1"/>
  <c r="AE45" i="1"/>
  <c r="AH25" i="1"/>
  <c r="AD39" i="1"/>
  <c r="AE39" i="1"/>
  <c r="AH26" i="1"/>
  <c r="AI26" i="1"/>
  <c r="AJ26" i="1"/>
  <c r="AC40" i="1"/>
  <c r="AD40" i="1"/>
  <c r="AE40" i="1"/>
  <c r="AH27" i="1"/>
  <c r="AD41" i="1"/>
  <c r="AE41" i="1"/>
  <c r="AH32" i="1"/>
  <c r="AI32" i="1"/>
  <c r="AJ32" i="1"/>
  <c r="AC46" i="1"/>
  <c r="AD46" i="1"/>
  <c r="AE46" i="1"/>
  <c r="AH28" i="1"/>
  <c r="AD42" i="1"/>
  <c r="AE42" i="1"/>
  <c r="AE49" i="1"/>
  <c r="H68" i="1"/>
  <c r="G53" i="1"/>
  <c r="H69" i="1"/>
  <c r="G54" i="1"/>
  <c r="D36" i="1"/>
  <c r="AA60" i="1"/>
  <c r="AA61" i="1"/>
  <c r="AA62" i="1"/>
  <c r="AA56" i="1"/>
  <c r="AA57" i="1"/>
  <c r="AA58" i="1"/>
  <c r="AA63" i="1"/>
  <c r="AA59" i="1"/>
  <c r="AA66" i="1"/>
  <c r="D37" i="1"/>
  <c r="G55" i="1"/>
  <c r="G38" i="1"/>
  <c r="Z25" i="1"/>
  <c r="AH39" i="1"/>
  <c r="Z26" i="1"/>
  <c r="AH40" i="1"/>
  <c r="Z27" i="1"/>
  <c r="AH41" i="1"/>
  <c r="Z28" i="1"/>
  <c r="AH42" i="1"/>
  <c r="Z29" i="1"/>
  <c r="AH43" i="1"/>
  <c r="Z30" i="1"/>
  <c r="AH44" i="1"/>
  <c r="Z31" i="1"/>
  <c r="AH45" i="1"/>
  <c r="Z32" i="1"/>
  <c r="AH46" i="1"/>
  <c r="AH47" i="1"/>
  <c r="AH48" i="1"/>
  <c r="AH49" i="1"/>
  <c r="AA65" i="1"/>
  <c r="AB65" i="1"/>
  <c r="AN65" i="1"/>
  <c r="D33" i="1"/>
  <c r="D34" i="1"/>
  <c r="D35" i="1"/>
  <c r="AA33" i="1"/>
  <c r="AA34" i="1"/>
  <c r="AD25" i="1"/>
  <c r="AD26" i="1"/>
  <c r="AD27" i="1"/>
  <c r="AD28" i="1"/>
  <c r="AD29" i="1"/>
  <c r="AD30" i="1"/>
  <c r="AD31" i="1"/>
  <c r="AD32" i="1"/>
  <c r="AD33" i="1"/>
  <c r="AD34" i="1"/>
  <c r="AD35" i="1"/>
  <c r="G36" i="1"/>
  <c r="AL25" i="1"/>
  <c r="AL26" i="1"/>
  <c r="AL27" i="1"/>
  <c r="AL28" i="1"/>
  <c r="AL29" i="1"/>
  <c r="AL30" i="1"/>
  <c r="AL31" i="1"/>
  <c r="AL32" i="1"/>
  <c r="AL33" i="1"/>
  <c r="AL34" i="1"/>
  <c r="AL35" i="1"/>
  <c r="O36" i="1"/>
  <c r="AI25" i="1"/>
  <c r="AJ25" i="1"/>
  <c r="AC39" i="1"/>
  <c r="AH33" i="1"/>
  <c r="AD47" i="1"/>
  <c r="AE47" i="1"/>
  <c r="AH34" i="1"/>
  <c r="AD48" i="1"/>
  <c r="AE48" i="1"/>
  <c r="C18" i="1"/>
  <c r="H53" i="1"/>
  <c r="AA64" i="1"/>
  <c r="AD56" i="1"/>
  <c r="AD57" i="1"/>
  <c r="AD58" i="1"/>
  <c r="AD59" i="1"/>
  <c r="AD60" i="1"/>
  <c r="AD61" i="1"/>
  <c r="AD62" i="1"/>
  <c r="AD63" i="1"/>
  <c r="AD64" i="1"/>
  <c r="AD65" i="1"/>
  <c r="AD66" i="1"/>
  <c r="G37" i="1"/>
  <c r="AL56" i="1"/>
  <c r="AL57" i="1"/>
  <c r="AL58" i="1"/>
  <c r="AL59" i="1"/>
  <c r="AL60" i="1"/>
  <c r="AL61" i="1"/>
  <c r="AL62" i="1"/>
  <c r="AL63" i="1"/>
  <c r="AL64" i="1"/>
  <c r="AL65" i="1"/>
  <c r="AL66" i="1"/>
  <c r="O37" i="1"/>
  <c r="H54" i="1"/>
  <c r="H55" i="1"/>
  <c r="N25" i="1"/>
  <c r="N26" i="1"/>
  <c r="N27" i="1"/>
  <c r="N28" i="1"/>
  <c r="N29" i="1"/>
  <c r="N30" i="1"/>
  <c r="N31" i="1"/>
  <c r="N32" i="1"/>
  <c r="N39" i="1"/>
  <c r="N40" i="1"/>
  <c r="N38" i="1"/>
  <c r="D55" i="1"/>
  <c r="J38" i="1"/>
  <c r="C55" i="1"/>
  <c r="I60" i="1"/>
  <c r="I55" i="1"/>
  <c r="J60" i="1"/>
  <c r="J55" i="1"/>
  <c r="K60" i="1"/>
  <c r="K55" i="1"/>
  <c r="AK56" i="1"/>
  <c r="AK57" i="1"/>
  <c r="AK58" i="1"/>
  <c r="AK59" i="1"/>
  <c r="AK60" i="1"/>
  <c r="AK61" i="1"/>
  <c r="AK62" i="1"/>
  <c r="AK63" i="1"/>
  <c r="AK64" i="1"/>
  <c r="AK65" i="1"/>
  <c r="AK66" i="1"/>
  <c r="N37" i="1"/>
  <c r="D54" i="1"/>
  <c r="J59" i="1"/>
  <c r="J54" i="1"/>
  <c r="K59" i="1"/>
  <c r="K54" i="1"/>
  <c r="AG56" i="1"/>
  <c r="AG57" i="1"/>
  <c r="AG58" i="1"/>
  <c r="AG59" i="1"/>
  <c r="AG60" i="1"/>
  <c r="AG61" i="1"/>
  <c r="AG62" i="1"/>
  <c r="AG63" i="1"/>
  <c r="AG64" i="1"/>
  <c r="AG65" i="1"/>
  <c r="AG66" i="1"/>
  <c r="J37" i="1"/>
  <c r="C54" i="1"/>
  <c r="I59" i="1"/>
  <c r="I54" i="1"/>
  <c r="E43" i="1"/>
  <c r="F43" i="1"/>
  <c r="H62" i="1"/>
  <c r="H43" i="1"/>
  <c r="D43" i="1"/>
  <c r="G43" i="1"/>
  <c r="C43" i="1"/>
  <c r="I62" i="1"/>
  <c r="J62" i="1"/>
  <c r="K62" i="1"/>
  <c r="E44" i="1"/>
  <c r="F44" i="1"/>
  <c r="H63" i="1"/>
  <c r="H44" i="1"/>
  <c r="D44" i="1"/>
  <c r="G44" i="1"/>
  <c r="C44" i="1"/>
  <c r="I63" i="1"/>
  <c r="J63" i="1"/>
  <c r="K63" i="1"/>
  <c r="H70" i="1"/>
  <c r="H51" i="1"/>
  <c r="B52" i="1"/>
  <c r="B58" i="1"/>
  <c r="B51" i="1"/>
  <c r="B57" i="1"/>
  <c r="D21" i="1"/>
  <c r="E19" i="1"/>
  <c r="H65" i="1"/>
  <c r="H46" i="1"/>
  <c r="AK25" i="1"/>
  <c r="AK26" i="1"/>
  <c r="AK27" i="1"/>
  <c r="AK28" i="1"/>
  <c r="AK29" i="1"/>
  <c r="AK30" i="1"/>
  <c r="AK31" i="1"/>
  <c r="AK32" i="1"/>
  <c r="AK33" i="1"/>
  <c r="AK34" i="1"/>
  <c r="AK35" i="1"/>
  <c r="N36" i="1"/>
  <c r="D53" i="1"/>
  <c r="J53" i="1"/>
  <c r="K53" i="1"/>
  <c r="AH35" i="1"/>
  <c r="K36" i="1"/>
  <c r="AI27" i="1"/>
  <c r="AI28" i="1"/>
  <c r="AI31" i="1"/>
  <c r="AI33" i="1"/>
  <c r="AI34" i="1"/>
  <c r="AI35" i="1"/>
  <c r="L36" i="1"/>
  <c r="AJ27" i="1"/>
  <c r="AJ28" i="1"/>
  <c r="AJ31" i="1"/>
  <c r="AJ33" i="1"/>
  <c r="AJ34" i="1"/>
  <c r="AJ35" i="1"/>
  <c r="M36" i="1"/>
  <c r="E53" i="1"/>
  <c r="AG25" i="1"/>
  <c r="AG26" i="1"/>
  <c r="AG27" i="1"/>
  <c r="AG28" i="1"/>
  <c r="AG29" i="1"/>
  <c r="AG30" i="1"/>
  <c r="AG31" i="1"/>
  <c r="AG32" i="1"/>
  <c r="AG33" i="1"/>
  <c r="AG34" i="1"/>
  <c r="AG35" i="1"/>
  <c r="J36" i="1"/>
  <c r="C53" i="1"/>
  <c r="I53" i="1"/>
  <c r="AH58" i="1"/>
  <c r="AI58" i="1"/>
  <c r="AE71" i="1"/>
  <c r="AH59" i="1"/>
  <c r="AI59" i="1"/>
  <c r="AE72" i="1"/>
  <c r="AH60" i="1"/>
  <c r="AE73" i="1"/>
  <c r="AH56" i="1"/>
  <c r="AI56" i="1"/>
  <c r="AE69" i="1"/>
  <c r="AH57" i="1"/>
  <c r="AI57" i="1"/>
  <c r="AE70" i="1"/>
  <c r="AH61" i="1"/>
  <c r="AI61" i="1"/>
  <c r="AE74" i="1"/>
  <c r="AH62" i="1"/>
  <c r="AI62" i="1"/>
  <c r="AE75" i="1"/>
  <c r="AH63" i="1"/>
  <c r="AI63" i="1"/>
  <c r="AE76" i="1"/>
  <c r="AH64" i="1"/>
  <c r="AE77" i="1"/>
  <c r="AH65" i="1"/>
  <c r="AE78" i="1"/>
  <c r="AE79" i="1"/>
  <c r="E54" i="1"/>
  <c r="AM56" i="1"/>
  <c r="AM58" i="1"/>
  <c r="AM59" i="1"/>
  <c r="AM60" i="1"/>
  <c r="AM57" i="1"/>
  <c r="AM61" i="1"/>
  <c r="AM62" i="1"/>
  <c r="AM63" i="1"/>
  <c r="AM64" i="1"/>
  <c r="AM65" i="1"/>
  <c r="AM66" i="1"/>
  <c r="P37" i="1"/>
  <c r="AM25" i="1"/>
  <c r="AM27" i="1"/>
  <c r="AM28" i="1"/>
  <c r="AM29" i="1"/>
  <c r="AM26" i="1"/>
  <c r="AM30" i="1"/>
  <c r="AM31" i="1"/>
  <c r="AM32" i="1"/>
  <c r="AM33" i="1"/>
  <c r="AM34" i="1"/>
  <c r="AM35" i="1"/>
  <c r="P36" i="1"/>
  <c r="AJ56" i="1"/>
  <c r="AJ58" i="1"/>
  <c r="AJ59" i="1"/>
  <c r="AJ60" i="1"/>
  <c r="AJ57" i="1"/>
  <c r="AJ61" i="1"/>
  <c r="AJ62" i="1"/>
  <c r="AJ63" i="1"/>
  <c r="AJ64" i="1"/>
  <c r="AJ65" i="1"/>
  <c r="AJ66" i="1"/>
  <c r="M37" i="1"/>
  <c r="AI60" i="1"/>
  <c r="AI64" i="1"/>
  <c r="AI65" i="1"/>
  <c r="AI66" i="1"/>
  <c r="L37" i="1"/>
  <c r="AH66" i="1"/>
  <c r="K37" i="1"/>
  <c r="AF56" i="1"/>
  <c r="AF58" i="1"/>
  <c r="AF59" i="1"/>
  <c r="AF60" i="1"/>
  <c r="AF57" i="1"/>
  <c r="AF61" i="1"/>
  <c r="AF62" i="1"/>
  <c r="AF63" i="1"/>
  <c r="AF64" i="1"/>
  <c r="AF65" i="1"/>
  <c r="AF66" i="1"/>
  <c r="I37" i="1"/>
  <c r="AF25" i="1"/>
  <c r="AF27" i="1"/>
  <c r="AF28" i="1"/>
  <c r="AF29" i="1"/>
  <c r="AF26" i="1"/>
  <c r="AF30" i="1"/>
  <c r="AF31" i="1"/>
  <c r="AF32" i="1"/>
  <c r="AF33" i="1"/>
  <c r="AF34" i="1"/>
  <c r="AF35" i="1"/>
  <c r="I36" i="1"/>
  <c r="AE56" i="1"/>
  <c r="AE58" i="1"/>
  <c r="AE59" i="1"/>
  <c r="AE60" i="1"/>
  <c r="AE57" i="1"/>
  <c r="AE61" i="1"/>
  <c r="AE62" i="1"/>
  <c r="AE63" i="1"/>
  <c r="AE64" i="1"/>
  <c r="AE65" i="1"/>
  <c r="AE66" i="1"/>
  <c r="H37" i="1"/>
  <c r="AE25" i="1"/>
  <c r="AE27" i="1"/>
  <c r="AE28" i="1"/>
  <c r="AE29" i="1"/>
  <c r="AE26" i="1"/>
  <c r="AE30" i="1"/>
  <c r="AE31" i="1"/>
  <c r="AE32" i="1"/>
  <c r="AE33" i="1"/>
  <c r="AE34" i="1"/>
  <c r="AE35" i="1"/>
  <c r="H36" i="1"/>
  <c r="AC56" i="1"/>
  <c r="AC58" i="1"/>
  <c r="AC59" i="1"/>
  <c r="AC60" i="1"/>
  <c r="AC57" i="1"/>
  <c r="AC61" i="1"/>
  <c r="AC62" i="1"/>
  <c r="AC63" i="1"/>
  <c r="AC64" i="1"/>
  <c r="AC65" i="1"/>
  <c r="AC66" i="1"/>
  <c r="F37" i="1"/>
  <c r="AC25" i="1"/>
  <c r="AC27" i="1"/>
  <c r="AC28" i="1"/>
  <c r="AC29" i="1"/>
  <c r="AC26" i="1"/>
  <c r="AC30" i="1"/>
  <c r="AC31" i="1"/>
  <c r="AC32" i="1"/>
  <c r="AC33" i="1"/>
  <c r="AC34" i="1"/>
  <c r="AC35" i="1"/>
  <c r="F36" i="1"/>
  <c r="AB25" i="1"/>
  <c r="AN25" i="1"/>
  <c r="AN27" i="1"/>
  <c r="AN28" i="1"/>
  <c r="AB29" i="1"/>
  <c r="AN29" i="1"/>
  <c r="AB26" i="1"/>
  <c r="AN26" i="1"/>
  <c r="AB30" i="1"/>
  <c r="AN30" i="1"/>
  <c r="AN31" i="1"/>
  <c r="AB32" i="1"/>
  <c r="AN32" i="1"/>
  <c r="AN33" i="1"/>
  <c r="AN34" i="1"/>
  <c r="AN35" i="1"/>
  <c r="AB56" i="1"/>
  <c r="AN56" i="1"/>
  <c r="AB58" i="1"/>
  <c r="AN58" i="1"/>
  <c r="AB59" i="1"/>
  <c r="AN59" i="1"/>
  <c r="AB60" i="1"/>
  <c r="AN60" i="1"/>
  <c r="AB57" i="1"/>
  <c r="AN57" i="1"/>
  <c r="AB61" i="1"/>
  <c r="AN61" i="1"/>
  <c r="AB62" i="1"/>
  <c r="AN62" i="1"/>
  <c r="AB63" i="1"/>
  <c r="AN63" i="1"/>
  <c r="AB64" i="1"/>
  <c r="AN64" i="1"/>
  <c r="AN66" i="1"/>
  <c r="AN38" i="1"/>
  <c r="E38" i="1"/>
  <c r="E37" i="1"/>
  <c r="E36" i="1"/>
  <c r="E97" i="1"/>
  <c r="E96" i="1"/>
  <c r="E93" i="1"/>
  <c r="E92" i="1"/>
  <c r="E91" i="1"/>
  <c r="E90" i="1"/>
  <c r="E89" i="1"/>
  <c r="E88" i="1"/>
  <c r="H71" i="1"/>
  <c r="E48" i="1"/>
  <c r="F48" i="1"/>
  <c r="H67" i="1"/>
  <c r="E47" i="1"/>
  <c r="F47" i="1"/>
  <c r="H66" i="1"/>
  <c r="H64" i="1"/>
  <c r="H58" i="1"/>
  <c r="G58" i="1"/>
  <c r="E58" i="1"/>
  <c r="G57" i="1"/>
  <c r="E57" i="1"/>
  <c r="H50" i="1"/>
  <c r="E50" i="1"/>
  <c r="H49" i="1"/>
  <c r="E49" i="1"/>
  <c r="Z34" i="1"/>
  <c r="H48" i="1"/>
  <c r="Z33" i="1"/>
  <c r="H47" i="1"/>
  <c r="G47" i="1"/>
  <c r="G46" i="1"/>
  <c r="E46" i="1"/>
  <c r="H45" i="1"/>
  <c r="G45" i="1"/>
  <c r="E45" i="1"/>
  <c r="AB34" i="1"/>
  <c r="AB33" i="1"/>
  <c r="AB31" i="1"/>
  <c r="AB28" i="1"/>
  <c r="AB27" i="1"/>
  <c r="E14" i="1"/>
  <c r="G14" i="1"/>
  <c r="I14" i="1"/>
  <c r="B88" i="1"/>
  <c r="C88" i="1"/>
  <c r="D88" i="1"/>
  <c r="F88" i="1"/>
  <c r="E94" i="1"/>
  <c r="E95" i="1"/>
  <c r="V25" i="1"/>
  <c r="H88" i="1"/>
  <c r="B89" i="1"/>
  <c r="C89" i="1"/>
  <c r="D89" i="1"/>
  <c r="F89" i="1"/>
  <c r="H89" i="1"/>
  <c r="B90" i="1"/>
  <c r="C90" i="1"/>
  <c r="D90" i="1"/>
  <c r="F90" i="1"/>
  <c r="H90" i="1"/>
  <c r="B91" i="1"/>
  <c r="C91" i="1"/>
  <c r="D91" i="1"/>
  <c r="F91" i="1"/>
  <c r="H91" i="1"/>
  <c r="B92" i="1"/>
  <c r="C92" i="1"/>
  <c r="D92" i="1"/>
  <c r="F92" i="1"/>
  <c r="H92" i="1"/>
  <c r="B93" i="1"/>
  <c r="C93" i="1"/>
  <c r="D93" i="1"/>
  <c r="F93" i="1"/>
  <c r="H93" i="1"/>
  <c r="C94" i="1"/>
  <c r="D94" i="1"/>
  <c r="F94" i="1"/>
  <c r="B95" i="1"/>
  <c r="C95" i="1"/>
  <c r="D95" i="1"/>
  <c r="F95" i="1"/>
  <c r="B96" i="1"/>
  <c r="C96" i="1"/>
  <c r="D96" i="1"/>
  <c r="F96" i="1"/>
  <c r="H96" i="1"/>
  <c r="H97" i="1"/>
  <c r="F97" i="1"/>
  <c r="D97" i="1"/>
  <c r="C97" i="1"/>
  <c r="B97" i="1"/>
  <c r="K38" i="1"/>
  <c r="D58" i="1"/>
  <c r="J71" i="1"/>
  <c r="K71" i="1"/>
  <c r="C58" i="1"/>
  <c r="I71" i="1"/>
  <c r="F71" i="1"/>
  <c r="D57" i="1"/>
  <c r="J70" i="1"/>
  <c r="K70" i="1"/>
  <c r="C57" i="1"/>
  <c r="I70" i="1"/>
  <c r="F70" i="1"/>
  <c r="D50" i="1"/>
  <c r="J69" i="1"/>
  <c r="K69" i="1"/>
  <c r="C50" i="1"/>
  <c r="I69" i="1"/>
  <c r="F69" i="1"/>
  <c r="D49" i="1"/>
  <c r="J68" i="1"/>
  <c r="K68" i="1"/>
  <c r="C49" i="1"/>
  <c r="I68" i="1"/>
  <c r="F68" i="1"/>
  <c r="D48" i="1"/>
  <c r="J67" i="1"/>
  <c r="K67" i="1"/>
  <c r="C48" i="1"/>
  <c r="I67" i="1"/>
  <c r="F67" i="1"/>
  <c r="D47" i="1"/>
  <c r="J66" i="1"/>
  <c r="K66" i="1"/>
  <c r="C47" i="1"/>
  <c r="I66" i="1"/>
  <c r="F66" i="1"/>
  <c r="D46" i="1"/>
  <c r="J65" i="1"/>
  <c r="K65" i="1"/>
  <c r="C46" i="1"/>
  <c r="I65" i="1"/>
  <c r="F65" i="1"/>
  <c r="D45" i="1"/>
  <c r="J64" i="1"/>
  <c r="K64" i="1"/>
  <c r="C45" i="1"/>
  <c r="I64" i="1"/>
  <c r="F64" i="1"/>
  <c r="F63" i="1"/>
  <c r="F62" i="1"/>
  <c r="AB66" i="1"/>
  <c r="Z65" i="1"/>
  <c r="Y65" i="1"/>
  <c r="Z64" i="1"/>
  <c r="Y64" i="1"/>
  <c r="E55" i="1"/>
  <c r="F55" i="1"/>
  <c r="B55" i="1"/>
  <c r="Z63" i="1"/>
  <c r="Y63" i="1"/>
  <c r="F54" i="1"/>
  <c r="B54" i="1"/>
  <c r="Z62" i="1"/>
  <c r="Y62" i="1"/>
  <c r="F53" i="1"/>
  <c r="Z61" i="1"/>
  <c r="Y61" i="1"/>
  <c r="Z60" i="1"/>
  <c r="Y60" i="1"/>
  <c r="K58" i="1"/>
  <c r="J58" i="1"/>
  <c r="I58" i="1"/>
  <c r="F58" i="1"/>
  <c r="Z59" i="1"/>
  <c r="Y59" i="1"/>
  <c r="K57" i="1"/>
  <c r="J57" i="1"/>
  <c r="I57" i="1"/>
  <c r="F57" i="1"/>
  <c r="Z58" i="1"/>
  <c r="Y58" i="1"/>
  <c r="K50" i="1"/>
  <c r="J50" i="1"/>
  <c r="I50" i="1"/>
  <c r="F50" i="1"/>
  <c r="B50" i="1"/>
  <c r="Z57" i="1"/>
  <c r="Y57" i="1"/>
  <c r="K49" i="1"/>
  <c r="J49" i="1"/>
  <c r="I49" i="1"/>
  <c r="F49" i="1"/>
  <c r="B49" i="1"/>
  <c r="Z56" i="1"/>
  <c r="Y56" i="1"/>
  <c r="K48" i="1"/>
  <c r="J48" i="1"/>
  <c r="I48" i="1"/>
  <c r="B48" i="1"/>
  <c r="K47" i="1"/>
  <c r="J47" i="1"/>
  <c r="I47" i="1"/>
  <c r="B47" i="1"/>
  <c r="K46" i="1"/>
  <c r="J46" i="1"/>
  <c r="I46" i="1"/>
  <c r="F46" i="1"/>
  <c r="B46" i="1"/>
  <c r="K45" i="1"/>
  <c r="J45" i="1"/>
  <c r="I45" i="1"/>
  <c r="F45" i="1"/>
  <c r="B45" i="1"/>
  <c r="K44" i="1"/>
  <c r="J44" i="1"/>
  <c r="I44" i="1"/>
  <c r="B44" i="1"/>
  <c r="K43" i="1"/>
  <c r="J43" i="1"/>
  <c r="I43" i="1"/>
  <c r="B43" i="1"/>
  <c r="AC48" i="1"/>
  <c r="AC47" i="1"/>
  <c r="AC45" i="1"/>
  <c r="O38" i="1"/>
  <c r="P38" i="1"/>
  <c r="AC42" i="1"/>
  <c r="AC41" i="1"/>
  <c r="M38" i="1"/>
  <c r="L38" i="1"/>
  <c r="I38" i="1"/>
  <c r="H38" i="1"/>
  <c r="F38" i="1"/>
  <c r="D38" i="1"/>
  <c r="Y34" i="1"/>
  <c r="Y33" i="1"/>
  <c r="Y32" i="1"/>
  <c r="Y31" i="1"/>
  <c r="Y30" i="1"/>
  <c r="Y29" i="1"/>
  <c r="Y28" i="1"/>
  <c r="Y27" i="1"/>
  <c r="Y26" i="1"/>
  <c r="Y25" i="1"/>
  <c r="H95" i="1"/>
  <c r="H94" i="1"/>
</calcChain>
</file>

<file path=xl/sharedStrings.xml><?xml version="1.0" encoding="utf-8"?>
<sst xmlns="http://schemas.openxmlformats.org/spreadsheetml/2006/main" count="191" uniqueCount="122">
  <si>
    <t>Animal</t>
  </si>
  <si>
    <t>Alimentos</t>
  </si>
  <si>
    <t>Classificação</t>
  </si>
  <si>
    <t>D</t>
  </si>
  <si>
    <t>EE</t>
  </si>
  <si>
    <t>Lig</t>
  </si>
  <si>
    <t>Proporcao na MN</t>
  </si>
  <si>
    <t>kp</t>
  </si>
  <si>
    <t>Dct, %</t>
  </si>
  <si>
    <t>kd</t>
  </si>
  <si>
    <t>total</t>
  </si>
  <si>
    <t>zebu</t>
  </si>
  <si>
    <t>Autores:</t>
  </si>
  <si>
    <t>Pedro Del Bianco Benedeti</t>
  </si>
  <si>
    <t>Citação:</t>
  </si>
  <si>
    <t>Apoio:</t>
  </si>
  <si>
    <t>INCT - Ciência Animal</t>
  </si>
  <si>
    <t>CNPq</t>
  </si>
  <si>
    <t>CAPES</t>
  </si>
  <si>
    <t>Tadeu Eder da Silva</t>
  </si>
  <si>
    <t>Edenio Detmann</t>
  </si>
  <si>
    <t>BR-CORTE 2016</t>
  </si>
  <si>
    <t>BR-CORTE 2010</t>
  </si>
  <si>
    <t>Beef</t>
  </si>
  <si>
    <t>brBeef 2010</t>
  </si>
  <si>
    <t>brBeef2016</t>
  </si>
  <si>
    <t>cruz Beef</t>
  </si>
  <si>
    <t>Crossbreed</t>
  </si>
  <si>
    <t>Dairy</t>
  </si>
  <si>
    <t>cruz Dairy</t>
  </si>
  <si>
    <t>Zebu</t>
  </si>
  <si>
    <t>Requirements system</t>
  </si>
  <si>
    <t>Breed</t>
  </si>
  <si>
    <t>Initial body weight, kg</t>
  </si>
  <si>
    <t>Final body weight, kg</t>
  </si>
  <si>
    <t>Average body weight, kg</t>
  </si>
  <si>
    <t>Average daily gain, kg/day</t>
  </si>
  <si>
    <t>DM intake, kg</t>
  </si>
  <si>
    <t>Feed</t>
  </si>
  <si>
    <t>Feed type</t>
  </si>
  <si>
    <t>Concentrate</t>
  </si>
  <si>
    <t>Concentrate:</t>
  </si>
  <si>
    <t>Se for Concentrate</t>
  </si>
  <si>
    <t>TOTAL Concentrate</t>
  </si>
  <si>
    <t>DM, %</t>
  </si>
  <si>
    <t>CDM</t>
  </si>
  <si>
    <t>EE, % DM</t>
  </si>
  <si>
    <t>DM</t>
  </si>
  <si>
    <t>OM, % DM</t>
  </si>
  <si>
    <t>OM</t>
  </si>
  <si>
    <t>CP, % DM</t>
  </si>
  <si>
    <t>DvCPcc</t>
  </si>
  <si>
    <t>DvCPpc</t>
  </si>
  <si>
    <t>CP</t>
  </si>
  <si>
    <t>NDFcp</t>
  </si>
  <si>
    <t>NDFpd, %</t>
  </si>
  <si>
    <t>NDFi, %</t>
  </si>
  <si>
    <t>ADF, % DM</t>
  </si>
  <si>
    <t>ADF</t>
  </si>
  <si>
    <t>Urea, % DM</t>
  </si>
  <si>
    <t>Urea</t>
  </si>
  <si>
    <t>CPUrea</t>
  </si>
  <si>
    <t>Lignin, % DM</t>
  </si>
  <si>
    <t>NFC, % DM</t>
  </si>
  <si>
    <t>NFC</t>
  </si>
  <si>
    <t>somas ee NDF NFC</t>
  </si>
  <si>
    <t>NDIP, % DM</t>
  </si>
  <si>
    <t>NDIP</t>
  </si>
  <si>
    <t>ADIP, % DM</t>
  </si>
  <si>
    <t>ADIP</t>
  </si>
  <si>
    <t>Proportion in the diet, %</t>
  </si>
  <si>
    <t>CPurea, % DM</t>
  </si>
  <si>
    <t>Intake, g DM/kg body weight</t>
  </si>
  <si>
    <t>EEtd, %</t>
  </si>
  <si>
    <t>NFCtd, %</t>
  </si>
  <si>
    <t>CPtd, %</t>
  </si>
  <si>
    <t>iNDF, %</t>
  </si>
  <si>
    <t>dNDF, %</t>
  </si>
  <si>
    <t>TDN, %</t>
  </si>
  <si>
    <t>DE, Mcal/kg DM</t>
  </si>
  <si>
    <t>mDEia ponderada</t>
  </si>
  <si>
    <t>ME, Mcal/kg DM</t>
  </si>
  <si>
    <t>FAPMEIG</t>
  </si>
  <si>
    <t>Proporção na Diet, %</t>
  </si>
  <si>
    <t>Diet:</t>
  </si>
  <si>
    <t>Sum:</t>
  </si>
  <si>
    <t>NDFap, % DM</t>
  </si>
  <si>
    <t>NFCtd - Truly digestible NFC fraction</t>
  </si>
  <si>
    <t>DE - Digestible energy</t>
  </si>
  <si>
    <t>EEtd - Truly digestible EE fraction</t>
  </si>
  <si>
    <t>ME - Metabolizable energy</t>
  </si>
  <si>
    <t>ADF - Acid detergent fiber</t>
  </si>
  <si>
    <t>dNDF - Digestible NDF fraction</t>
  </si>
  <si>
    <t>iNDF - Indigestible NDF</t>
  </si>
  <si>
    <t>OM - Organic matter</t>
  </si>
  <si>
    <t>DM - Dry matter</t>
  </si>
  <si>
    <t>TDN - Total digestible nutrients</t>
  </si>
  <si>
    <t>CP - Crude protein</t>
  </si>
  <si>
    <t>CPtd - Truly digestible CP fraction</t>
  </si>
  <si>
    <t>ADIP - Acid detergent insoluble protein</t>
  </si>
  <si>
    <t>NDIP - Neutral detergent insoluble protein</t>
  </si>
  <si>
    <t>AUTHORS AND CITATION</t>
  </si>
  <si>
    <t>EE - Ether extract</t>
  </si>
  <si>
    <t>ABBREVIATIONS</t>
  </si>
  <si>
    <t>Forage</t>
  </si>
  <si>
    <t>Se for Forage</t>
  </si>
  <si>
    <t>TOTAL Forage</t>
  </si>
  <si>
    <t>Forage:</t>
  </si>
  <si>
    <t>Spreadsheet for prediction of the energy value of cattle diets based on the chemical composition of feeds (BR-CORTE 2016)</t>
  </si>
  <si>
    <t>BENEDETI, P.D.B., SILVA T.E., DETMANN, E. Spreadsheet for prediction of the energy value of cattle diets based on the chemical composition of feeds (BR-CORTE 2016). 2016. Available on www.brcorte.com.br. Accessed…</t>
  </si>
  <si>
    <t>DATA INPUT</t>
  </si>
  <si>
    <t>EMPIRICAL APPROACH</t>
  </si>
  <si>
    <t>pdNDF - Potentially digestible NDF</t>
  </si>
  <si>
    <t>pdNDF, %</t>
  </si>
  <si>
    <t>NDFap - Neutral detergent fiber corrected for ash and protein</t>
  </si>
  <si>
    <t>NFC - Non-fibrous carbohydrates</t>
  </si>
  <si>
    <t>Urea/AS</t>
  </si>
  <si>
    <t>Mineral mixture</t>
  </si>
  <si>
    <t>-</t>
  </si>
  <si>
    <t>Silagem de milho</t>
  </si>
  <si>
    <t>Milho</t>
  </si>
  <si>
    <t>F. Soja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</si>
</sst>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000"/>
    <numFmt numFmtId="166" formatCode="0.0"/>
  </numFmts>
  <fonts count="40">
    <font>
      <sz val="12"/>
      <color theme="1"/>
      <name val="TimesNewRomanPSMT"/>
      <family val="2"/>
    </font>
    <font>
      <sz val="12"/>
      <color theme="1"/>
      <name val="TimesNewRomanPSMT"/>
      <family val="2"/>
    </font>
    <font>
      <sz val="12"/>
      <color rgb="FFFF0000"/>
      <name val="TimesNewRomanPSMT"/>
      <family val="2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26"/>
      <color theme="1"/>
      <name val="Times New Roman"/>
      <family val="1"/>
    </font>
    <font>
      <sz val="10"/>
      <name val="Arial"/>
      <family val="2"/>
    </font>
    <font>
      <b/>
      <sz val="26"/>
      <color rgb="FFFF0000"/>
      <name val="Times New Roman"/>
      <family val="1"/>
    </font>
    <font>
      <b/>
      <sz val="18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0"/>
      <name val="Times New Roman"/>
      <family val="1"/>
    </font>
    <font>
      <b/>
      <sz val="16"/>
      <color theme="0"/>
      <name val="Times New Roman"/>
      <family val="1"/>
    </font>
    <font>
      <sz val="16"/>
      <color theme="0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28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8"/>
      <color theme="0"/>
      <name val="Times New Roman"/>
      <family val="1"/>
    </font>
    <font>
      <sz val="18"/>
      <color theme="1"/>
      <name val="Times New Roman"/>
      <family val="1"/>
    </font>
    <font>
      <sz val="20"/>
      <color theme="0"/>
      <name val="Times New Roman"/>
      <family val="1"/>
    </font>
    <font>
      <sz val="20"/>
      <color theme="1"/>
      <name val="Times New Roman"/>
      <family val="1"/>
    </font>
    <font>
      <b/>
      <sz val="20"/>
      <color theme="0"/>
      <name val="Times New Roman"/>
      <family val="1"/>
    </font>
    <font>
      <b/>
      <sz val="14"/>
      <color rgb="FFFF0000"/>
      <name val="Times New Roman"/>
      <family val="1"/>
    </font>
    <font>
      <sz val="12"/>
      <color theme="0"/>
      <name val="Times New Roman"/>
      <family val="1"/>
    </font>
    <font>
      <sz val="12"/>
      <color theme="1"/>
      <name val="Times New Roman"/>
      <family val="1"/>
    </font>
    <font>
      <sz val="20"/>
      <color theme="0"/>
      <name val="Times New Roman"/>
      <family val="1"/>
    </font>
    <font>
      <b/>
      <sz val="20"/>
      <color theme="0"/>
      <name val="Times New Roman"/>
      <family val="1"/>
    </font>
    <font>
      <sz val="18"/>
      <color theme="0"/>
      <name val="Times New Roman"/>
      <family val="1"/>
    </font>
    <font>
      <b/>
      <sz val="12"/>
      <color theme="0"/>
      <name val="Times New Roman"/>
      <family val="1"/>
    </font>
    <font>
      <sz val="20"/>
      <name val="Times New Roman"/>
      <family val="1"/>
    </font>
    <font>
      <sz val="1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rgb="FFFFFF99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</cellStyleXfs>
  <cellXfs count="174">
    <xf numFmtId="0" fontId="0" fillId="0" borderId="0" xfId="0"/>
    <xf numFmtId="2" fontId="5" fillId="3" borderId="2" xfId="3" applyNumberFormat="1" applyFont="1" applyFill="1" applyBorder="1" applyAlignment="1" applyProtection="1">
      <alignment horizontal="center" vertical="center"/>
      <protection locked="0"/>
    </xf>
    <xf numFmtId="1" fontId="5" fillId="3" borderId="2" xfId="3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hidden="1"/>
    </xf>
    <xf numFmtId="0" fontId="3" fillId="4" borderId="0" xfId="0" applyFont="1" applyFill="1" applyBorder="1" applyAlignment="1" applyProtection="1">
      <alignment horizontal="left" vertical="center"/>
      <protection hidden="1"/>
    </xf>
    <xf numFmtId="0" fontId="18" fillId="4" borderId="16" xfId="0" applyFont="1" applyFill="1" applyBorder="1" applyAlignment="1" applyProtection="1">
      <alignment vertical="center"/>
      <protection hidden="1"/>
    </xf>
    <xf numFmtId="2" fontId="5" fillId="3" borderId="15" xfId="3" applyNumberFormat="1" applyFont="1" applyFill="1" applyBorder="1" applyAlignment="1" applyProtection="1">
      <alignment horizontal="center" vertical="center"/>
      <protection locked="0"/>
    </xf>
    <xf numFmtId="2" fontId="17" fillId="8" borderId="17" xfId="0" applyNumberFormat="1" applyFont="1" applyFill="1" applyBorder="1" applyAlignment="1" applyProtection="1">
      <alignment horizontal="center" vertical="center"/>
      <protection locked="0"/>
    </xf>
    <xf numFmtId="1" fontId="17" fillId="8" borderId="17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left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14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2" fontId="3" fillId="2" borderId="0" xfId="0" applyNumberFormat="1" applyFont="1" applyFill="1" applyBorder="1" applyAlignment="1" applyProtection="1">
      <alignment horizontal="center" vertical="center"/>
      <protection hidden="1"/>
    </xf>
    <xf numFmtId="2" fontId="3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5" fillId="2" borderId="16" xfId="0" applyFont="1" applyFill="1" applyBorder="1" applyAlignment="1" applyProtection="1">
      <alignment horizontal="left" vertical="center"/>
      <protection hidden="1"/>
    </xf>
    <xf numFmtId="2" fontId="6" fillId="2" borderId="17" xfId="0" applyNumberFormat="1" applyFont="1" applyFill="1" applyBorder="1" applyAlignment="1" applyProtection="1">
      <alignment horizontal="center" vertical="center"/>
      <protection hidden="1"/>
    </xf>
    <xf numFmtId="0" fontId="5" fillId="2" borderId="18" xfId="0" applyFont="1" applyFill="1" applyBorder="1" applyAlignment="1" applyProtection="1">
      <alignment horizontal="left" vertical="center"/>
      <protection hidden="1"/>
    </xf>
    <xf numFmtId="2" fontId="5" fillId="2" borderId="19" xfId="3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2" fontId="5" fillId="2" borderId="0" xfId="3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1" fontId="5" fillId="2" borderId="0" xfId="3" applyNumberFormat="1" applyFont="1" applyFill="1" applyBorder="1" applyAlignment="1" applyProtection="1">
      <alignment horizontal="left" vertical="center"/>
      <protection hidden="1"/>
    </xf>
    <xf numFmtId="0" fontId="5" fillId="2" borderId="4" xfId="0" applyFont="1" applyFill="1" applyBorder="1" applyAlignment="1" applyProtection="1">
      <alignment horizontal="right" vertical="center"/>
      <protection hidden="1"/>
    </xf>
    <xf numFmtId="1" fontId="5" fillId="2" borderId="5" xfId="3" applyNumberFormat="1" applyFont="1" applyFill="1" applyBorder="1" applyAlignment="1" applyProtection="1">
      <alignment horizontal="center" vertical="center"/>
      <protection hidden="1"/>
    </xf>
    <xf numFmtId="2" fontId="5" fillId="2" borderId="5" xfId="3" applyNumberFormat="1" applyFont="1" applyFill="1" applyBorder="1" applyAlignment="1" applyProtection="1">
      <alignment horizontal="center" vertical="center"/>
      <protection hidden="1"/>
    </xf>
    <xf numFmtId="164" fontId="3" fillId="2" borderId="0" xfId="0" applyNumberFormat="1" applyFont="1" applyFill="1" applyBorder="1" applyAlignment="1" applyProtection="1">
      <alignment horizontal="center" vertical="center"/>
      <protection hidden="1"/>
    </xf>
    <xf numFmtId="0" fontId="6" fillId="5" borderId="3" xfId="0" applyFont="1" applyFill="1" applyBorder="1" applyAlignment="1" applyProtection="1">
      <alignment horizontal="right" vertical="center"/>
      <protection hidden="1"/>
    </xf>
    <xf numFmtId="2" fontId="5" fillId="5" borderId="3" xfId="3" applyNumberFormat="1" applyFont="1" applyFill="1" applyBorder="1" applyAlignment="1" applyProtection="1">
      <alignment horizontal="center" vertical="center"/>
      <protection hidden="1"/>
    </xf>
    <xf numFmtId="2" fontId="5" fillId="2" borderId="0" xfId="0" applyNumberFormat="1" applyFont="1" applyFill="1" applyAlignment="1" applyProtection="1">
      <alignment horizontal="center" vertical="center"/>
      <protection hidden="1"/>
    </xf>
    <xf numFmtId="0" fontId="6" fillId="5" borderId="2" xfId="0" applyFont="1" applyFill="1" applyBorder="1" applyAlignment="1" applyProtection="1">
      <alignment horizontal="right" vertical="center"/>
      <protection hidden="1"/>
    </xf>
    <xf numFmtId="2" fontId="5" fillId="5" borderId="2" xfId="3" applyNumberFormat="1" applyFont="1" applyFill="1" applyBorder="1" applyAlignment="1" applyProtection="1">
      <alignment horizontal="center" vertical="center"/>
      <protection hidden="1"/>
    </xf>
    <xf numFmtId="2" fontId="5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Border="1" applyAlignment="1" applyProtection="1">
      <alignment horizontal="center" vertical="center"/>
      <protection hidden="1"/>
    </xf>
    <xf numFmtId="9" fontId="5" fillId="2" borderId="0" xfId="1" applyFont="1" applyFill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6" fillId="2" borderId="0" xfId="0" applyFont="1" applyFill="1" applyBorder="1" applyAlignment="1" applyProtection="1">
      <alignment horizontal="left" vertical="center"/>
      <protection hidden="1"/>
    </xf>
    <xf numFmtId="0" fontId="5" fillId="2" borderId="6" xfId="0" applyFont="1" applyFill="1" applyBorder="1" applyAlignment="1" applyProtection="1">
      <alignment horizontal="left" vertical="center"/>
      <protection hidden="1"/>
    </xf>
    <xf numFmtId="0" fontId="5" fillId="2" borderId="12" xfId="0" applyFont="1" applyFill="1" applyBorder="1" applyAlignment="1" applyProtection="1">
      <alignment horizontal="left" vertical="center"/>
      <protection hidden="1"/>
    </xf>
    <xf numFmtId="0" fontId="5" fillId="2" borderId="7" xfId="0" applyFont="1" applyFill="1" applyBorder="1" applyAlignment="1" applyProtection="1">
      <alignment horizontal="center" vertical="center"/>
      <protection hidden="1"/>
    </xf>
    <xf numFmtId="1" fontId="5" fillId="7" borderId="2" xfId="0" applyNumberFormat="1" applyFont="1" applyFill="1" applyBorder="1" applyAlignment="1" applyProtection="1">
      <alignment horizontal="left" vertical="center"/>
      <protection hidden="1"/>
    </xf>
    <xf numFmtId="2" fontId="5" fillId="7" borderId="2" xfId="0" applyNumberFormat="1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left" vertical="center"/>
      <protection hidden="1"/>
    </xf>
    <xf numFmtId="0" fontId="5" fillId="2" borderId="9" xfId="0" applyFont="1" applyFill="1" applyBorder="1" applyAlignment="1" applyProtection="1">
      <alignment horizontal="center" vertical="center"/>
      <protection hidden="1"/>
    </xf>
    <xf numFmtId="1" fontId="5" fillId="2" borderId="2" xfId="0" applyNumberFormat="1" applyFont="1" applyFill="1" applyBorder="1" applyAlignment="1" applyProtection="1">
      <alignment horizontal="left" vertical="center"/>
      <protection hidden="1"/>
    </xf>
    <xf numFmtId="2" fontId="5" fillId="2" borderId="2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right" vertical="center"/>
      <protection hidden="1"/>
    </xf>
    <xf numFmtId="166" fontId="5" fillId="2" borderId="2" xfId="0" applyNumberFormat="1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166" fontId="5" fillId="7" borderId="2" xfId="0" applyNumberFormat="1" applyFont="1" applyFill="1" applyBorder="1" applyAlignment="1" applyProtection="1">
      <alignment horizontal="center" vertical="center"/>
      <protection hidden="1"/>
    </xf>
    <xf numFmtId="1" fontId="5" fillId="2" borderId="20" xfId="0" applyNumberFormat="1" applyFont="1" applyFill="1" applyBorder="1" applyAlignment="1" applyProtection="1">
      <alignment horizontal="left" vertical="center"/>
      <protection hidden="1"/>
    </xf>
    <xf numFmtId="2" fontId="5" fillId="2" borderId="20" xfId="0" applyNumberFormat="1" applyFont="1" applyFill="1" applyBorder="1" applyAlignment="1" applyProtection="1">
      <alignment horizontal="center" vertical="center"/>
      <protection hidden="1"/>
    </xf>
    <xf numFmtId="166" fontId="5" fillId="2" borderId="20" xfId="0" applyNumberFormat="1" applyFont="1" applyFill="1" applyBorder="1" applyAlignment="1" applyProtection="1">
      <alignment horizontal="center" vertical="center"/>
      <protection hidden="1"/>
    </xf>
    <xf numFmtId="0" fontId="6" fillId="5" borderId="3" xfId="0" applyFont="1" applyFill="1" applyBorder="1" applyAlignment="1" applyProtection="1">
      <alignment horizontal="left" vertical="center"/>
      <protection hidden="1"/>
    </xf>
    <xf numFmtId="2" fontId="5" fillId="5" borderId="3" xfId="0" applyNumberFormat="1" applyFont="1" applyFill="1" applyBorder="1" applyAlignment="1" applyProtection="1">
      <alignment horizontal="center" vertical="center"/>
      <protection hidden="1"/>
    </xf>
    <xf numFmtId="1" fontId="6" fillId="5" borderId="2" xfId="0" applyNumberFormat="1" applyFont="1" applyFill="1" applyBorder="1" applyAlignment="1" applyProtection="1">
      <alignment horizontal="left" vertical="center"/>
      <protection hidden="1"/>
    </xf>
    <xf numFmtId="1" fontId="13" fillId="5" borderId="2" xfId="0" applyNumberFormat="1" applyFont="1" applyFill="1" applyBorder="1" applyAlignment="1" applyProtection="1">
      <alignment horizontal="left" vertical="center"/>
      <protection hidden="1"/>
    </xf>
    <xf numFmtId="2" fontId="13" fillId="5" borderId="2" xfId="0" applyNumberFormat="1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left" vertical="center"/>
      <protection hidden="1"/>
    </xf>
    <xf numFmtId="0" fontId="5" fillId="2" borderId="13" xfId="0" applyFont="1" applyFill="1" applyBorder="1" applyAlignment="1" applyProtection="1">
      <alignment horizontal="left" vertical="center"/>
      <protection hidden="1"/>
    </xf>
    <xf numFmtId="0" fontId="5" fillId="2" borderId="11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" fontId="3" fillId="2" borderId="0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1" fontId="3" fillId="2" borderId="0" xfId="0" applyNumberFormat="1" applyFont="1" applyFill="1" applyBorder="1" applyAlignment="1" applyProtection="1">
      <alignment horizontal="center" vertical="center"/>
      <protection hidden="1"/>
    </xf>
    <xf numFmtId="0" fontId="18" fillId="4" borderId="8" xfId="0" applyFont="1" applyFill="1" applyBorder="1" applyAlignment="1" applyProtection="1">
      <alignment vertical="center"/>
      <protection hidden="1"/>
    </xf>
    <xf numFmtId="0" fontId="19" fillId="4" borderId="8" xfId="0" applyFont="1" applyFill="1" applyBorder="1" applyAlignment="1" applyProtection="1">
      <alignment vertical="center"/>
      <protection hidden="1"/>
    </xf>
    <xf numFmtId="0" fontId="18" fillId="4" borderId="10" xfId="0" applyFont="1" applyFill="1" applyBorder="1" applyAlignment="1" applyProtection="1">
      <alignment vertical="center"/>
      <protection hidden="1"/>
    </xf>
    <xf numFmtId="0" fontId="18" fillId="4" borderId="0" xfId="0" applyFont="1" applyFill="1" applyBorder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horizontal="left" vertical="center"/>
      <protection hidden="1"/>
    </xf>
    <xf numFmtId="0" fontId="18" fillId="4" borderId="0" xfId="0" applyFont="1" applyFill="1" applyBorder="1" applyAlignment="1" applyProtection="1">
      <alignment vertical="center" wrapText="1"/>
      <protection hidden="1"/>
    </xf>
    <xf numFmtId="0" fontId="3" fillId="4" borderId="0" xfId="0" applyFont="1" applyFill="1" applyBorder="1" applyAlignment="1" applyProtection="1">
      <alignment horizontal="left" vertical="center" wrapText="1"/>
      <protection hidden="1"/>
    </xf>
    <xf numFmtId="0" fontId="3" fillId="2" borderId="9" xfId="0" applyFont="1" applyFill="1" applyBorder="1" applyAlignment="1" applyProtection="1">
      <alignment horizontal="center" vertical="center"/>
      <protection hidden="1"/>
    </xf>
    <xf numFmtId="0" fontId="18" fillId="4" borderId="8" xfId="0" applyFont="1" applyFill="1" applyBorder="1" applyAlignment="1" applyProtection="1">
      <alignment vertical="center" wrapText="1"/>
      <protection hidden="1"/>
    </xf>
    <xf numFmtId="0" fontId="18" fillId="4" borderId="9" xfId="0" applyFont="1" applyFill="1" applyBorder="1" applyAlignment="1" applyProtection="1">
      <alignment vertical="center" wrapText="1"/>
      <protection hidden="1"/>
    </xf>
    <xf numFmtId="0" fontId="18" fillId="4" borderId="13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vertical="center" wrapText="1"/>
      <protection hidden="1"/>
    </xf>
    <xf numFmtId="0" fontId="21" fillId="2" borderId="0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2" fillId="2" borderId="0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2" fontId="5" fillId="2" borderId="2" xfId="2" applyNumberFormat="1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vertical="center" wrapText="1"/>
      <protection hidden="1"/>
    </xf>
    <xf numFmtId="0" fontId="2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2" fontId="5" fillId="2" borderId="0" xfId="0" applyNumberFormat="1" applyFont="1" applyFill="1" applyBorder="1" applyAlignment="1" applyProtection="1">
      <alignment horizontal="center" vertical="center"/>
      <protection hidden="1"/>
    </xf>
    <xf numFmtId="0" fontId="5" fillId="4" borderId="8" xfId="0" applyFont="1" applyFill="1" applyBorder="1" applyAlignment="1" applyProtection="1">
      <alignment vertical="center"/>
      <protection hidden="1"/>
    </xf>
    <xf numFmtId="0" fontId="5" fillId="4" borderId="0" xfId="0" applyFont="1" applyFill="1" applyBorder="1" applyAlignment="1" applyProtection="1">
      <alignment vertical="center"/>
      <protection hidden="1"/>
    </xf>
    <xf numFmtId="1" fontId="5" fillId="2" borderId="2" xfId="3" applyNumberFormat="1" applyFont="1" applyFill="1" applyBorder="1" applyAlignment="1" applyProtection="1">
      <alignment horizontal="left" vertical="center"/>
      <protection hidden="1"/>
    </xf>
    <xf numFmtId="0" fontId="17" fillId="4" borderId="16" xfId="0" applyFont="1" applyFill="1" applyBorder="1" applyAlignment="1" applyProtection="1">
      <alignment horizontal="left" vertical="center"/>
      <protection hidden="1"/>
    </xf>
    <xf numFmtId="2" fontId="5" fillId="2" borderId="1" xfId="3" applyNumberFormat="1" applyFont="1" applyFill="1" applyBorder="1" applyAlignment="1" applyProtection="1">
      <alignment horizontal="center" vertical="center"/>
      <protection hidden="1"/>
    </xf>
    <xf numFmtId="2" fontId="5" fillId="2" borderId="21" xfId="3" applyNumberFormat="1" applyFont="1" applyFill="1" applyBorder="1" applyAlignment="1" applyProtection="1">
      <alignment horizontal="center" vertical="center"/>
      <protection hidden="1"/>
    </xf>
    <xf numFmtId="2" fontId="5" fillId="3" borderId="4" xfId="3" applyNumberFormat="1" applyFont="1" applyFill="1" applyBorder="1" applyAlignment="1" applyProtection="1">
      <alignment horizontal="center" vertical="center"/>
      <protection locked="0"/>
    </xf>
    <xf numFmtId="0" fontId="30" fillId="2" borderId="2" xfId="0" applyFont="1" applyFill="1" applyBorder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Border="1" applyAlignment="1" applyProtection="1">
      <alignment horizontal="center" vertical="center"/>
      <protection hidden="1"/>
    </xf>
    <xf numFmtId="2" fontId="29" fillId="2" borderId="0" xfId="2" applyNumberFormat="1" applyFont="1" applyFill="1" applyBorder="1" applyAlignment="1" applyProtection="1">
      <alignment horizontal="center" vertical="center"/>
      <protection hidden="1"/>
    </xf>
    <xf numFmtId="2" fontId="29" fillId="2" borderId="0" xfId="3" applyNumberFormat="1" applyFont="1" applyFill="1" applyBorder="1" applyAlignment="1" applyProtection="1">
      <alignment horizontal="center" vertical="center"/>
      <protection hidden="1"/>
    </xf>
    <xf numFmtId="0" fontId="31" fillId="2" borderId="0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0" fontId="34" fillId="2" borderId="0" xfId="0" applyFont="1" applyFill="1" applyBorder="1" applyAlignment="1" applyProtection="1">
      <alignment horizontal="center" vertical="center"/>
      <protection hidden="1"/>
    </xf>
    <xf numFmtId="0" fontId="34" fillId="2" borderId="0" xfId="0" applyFont="1" applyFill="1" applyBorder="1" applyAlignment="1" applyProtection="1">
      <alignment horizontal="left" vertical="center"/>
      <protection hidden="1"/>
    </xf>
    <xf numFmtId="2" fontId="29" fillId="2" borderId="0" xfId="0" applyNumberFormat="1" applyFont="1" applyFill="1" applyBorder="1" applyAlignment="1" applyProtection="1">
      <alignment horizontal="center" vertical="center"/>
      <protection hidden="1"/>
    </xf>
    <xf numFmtId="1" fontId="29" fillId="2" borderId="0" xfId="3" applyNumberFormat="1" applyFont="1" applyFill="1" applyBorder="1" applyAlignment="1" applyProtection="1">
      <alignment horizontal="left" vertical="center"/>
      <protection hidden="1"/>
    </xf>
    <xf numFmtId="2" fontId="29" fillId="2" borderId="0" xfId="0" applyNumberFormat="1" applyFont="1" applyFill="1" applyBorder="1" applyAlignment="1" applyProtection="1">
      <alignment horizontal="right" vertical="center"/>
      <protection hidden="1"/>
    </xf>
    <xf numFmtId="2" fontId="29" fillId="2" borderId="0" xfId="0" applyNumberFormat="1" applyFont="1" applyFill="1" applyBorder="1" applyAlignment="1" applyProtection="1">
      <alignment horizontal="left" vertical="center"/>
      <protection hidden="1"/>
    </xf>
    <xf numFmtId="164" fontId="29" fillId="2" borderId="0" xfId="0" applyNumberFormat="1" applyFont="1" applyFill="1" applyBorder="1" applyAlignment="1" applyProtection="1">
      <alignment horizontal="center" vertical="center"/>
      <protection hidden="1"/>
    </xf>
    <xf numFmtId="165" fontId="29" fillId="2" borderId="0" xfId="0" applyNumberFormat="1" applyFont="1" applyFill="1" applyBorder="1" applyAlignment="1" applyProtection="1">
      <alignment horizontal="center" vertical="center"/>
      <protection hidden="1"/>
    </xf>
    <xf numFmtId="0" fontId="34" fillId="6" borderId="0" xfId="0" applyFont="1" applyFill="1" applyBorder="1" applyAlignment="1" applyProtection="1">
      <alignment horizontal="center" vertical="center"/>
      <protection hidden="1"/>
    </xf>
    <xf numFmtId="0" fontId="29" fillId="2" borderId="0" xfId="0" applyFont="1" applyFill="1" applyBorder="1" applyAlignment="1" applyProtection="1">
      <alignment horizontal="right" vertical="center"/>
      <protection hidden="1"/>
    </xf>
    <xf numFmtId="1" fontId="29" fillId="2" borderId="0" xfId="3" applyNumberFormat="1" applyFont="1" applyFill="1" applyBorder="1" applyAlignment="1" applyProtection="1">
      <alignment horizontal="center" vertical="center"/>
      <protection hidden="1"/>
    </xf>
    <xf numFmtId="166" fontId="29" fillId="6" borderId="0" xfId="0" applyNumberFormat="1" applyFont="1" applyFill="1" applyBorder="1" applyAlignment="1" applyProtection="1">
      <alignment horizontal="center" vertical="center"/>
      <protection hidden="1"/>
    </xf>
    <xf numFmtId="2" fontId="29" fillId="6" borderId="0" xfId="0" applyNumberFormat="1" applyFont="1" applyFill="1" applyBorder="1" applyAlignment="1" applyProtection="1">
      <alignment horizontal="center" vertical="center"/>
      <protection hidden="1"/>
    </xf>
    <xf numFmtId="166" fontId="29" fillId="2" borderId="0" xfId="0" applyNumberFormat="1" applyFont="1" applyFill="1" applyBorder="1" applyAlignment="1" applyProtection="1">
      <alignment horizontal="center" vertical="center"/>
      <protection hidden="1"/>
    </xf>
    <xf numFmtId="1" fontId="30" fillId="3" borderId="2" xfId="3" applyNumberFormat="1" applyFont="1" applyFill="1" applyBorder="1" applyAlignment="1" applyProtection="1">
      <alignment horizontal="left" vertical="center"/>
      <protection locked="0"/>
    </xf>
    <xf numFmtId="0" fontId="35" fillId="2" borderId="0" xfId="0" applyFont="1" applyFill="1" applyAlignment="1" applyProtection="1">
      <alignment horizontal="center" vertical="center"/>
      <protection hidden="1"/>
    </xf>
    <xf numFmtId="0" fontId="36" fillId="2" borderId="0" xfId="0" applyFont="1" applyFill="1" applyAlignment="1" applyProtection="1">
      <alignment horizontal="center" vertical="center"/>
      <protection hidden="1"/>
    </xf>
    <xf numFmtId="0" fontId="37" fillId="2" borderId="0" xfId="0" applyFont="1" applyFill="1" applyBorder="1" applyAlignment="1" applyProtection="1">
      <alignment horizontal="center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164" fontId="37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left" vertical="center" wrapText="1"/>
      <protection hidden="1"/>
    </xf>
    <xf numFmtId="0" fontId="17" fillId="4" borderId="16" xfId="0" applyFont="1" applyFill="1" applyBorder="1" applyAlignment="1" applyProtection="1">
      <alignment horizontal="left" vertical="center"/>
      <protection hidden="1"/>
    </xf>
    <xf numFmtId="0" fontId="17" fillId="2" borderId="16" xfId="0" applyFont="1" applyFill="1" applyBorder="1" applyAlignment="1" applyProtection="1">
      <alignment vertical="center"/>
      <protection hidden="1"/>
    </xf>
    <xf numFmtId="0" fontId="27" fillId="2" borderId="0" xfId="0" applyFont="1" applyFill="1" applyBorder="1" applyAlignment="1" applyProtection="1">
      <alignment horizontal="center" vertical="center"/>
      <protection hidden="1"/>
    </xf>
    <xf numFmtId="0" fontId="32" fillId="2" borderId="0" xfId="0" applyFont="1" applyFill="1" applyBorder="1" applyAlignment="1" applyProtection="1">
      <alignment horizontal="center" vertical="center"/>
      <protection hidden="1"/>
    </xf>
    <xf numFmtId="0" fontId="18" fillId="4" borderId="8" xfId="0" applyFont="1" applyFill="1" applyBorder="1" applyAlignment="1" applyProtection="1">
      <alignment horizontal="left" vertical="center" wrapText="1"/>
      <protection hidden="1"/>
    </xf>
    <xf numFmtId="0" fontId="18" fillId="4" borderId="0" xfId="0" applyFont="1" applyFill="1" applyBorder="1" applyAlignment="1" applyProtection="1">
      <alignment horizontal="left" vertical="center" wrapText="1"/>
      <protection hidden="1"/>
    </xf>
    <xf numFmtId="0" fontId="18" fillId="4" borderId="9" xfId="0" applyFont="1" applyFill="1" applyBorder="1" applyAlignment="1" applyProtection="1">
      <alignment horizontal="left" vertical="center" wrapText="1"/>
      <protection hidden="1"/>
    </xf>
    <xf numFmtId="0" fontId="20" fillId="2" borderId="0" xfId="0" applyFont="1" applyFill="1" applyAlignment="1" applyProtection="1">
      <alignment horizontal="left" vertical="center" wrapText="1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2" fontId="17" fillId="2" borderId="0" xfId="0" applyNumberFormat="1" applyFont="1" applyFill="1" applyBorder="1" applyAlignment="1" applyProtection="1">
      <alignment horizontal="center" vertical="center"/>
      <protection hidden="1"/>
    </xf>
    <xf numFmtId="1" fontId="17" fillId="2" borderId="0" xfId="3" applyNumberFormat="1" applyFont="1" applyFill="1" applyBorder="1" applyAlignment="1" applyProtection="1">
      <alignment horizontal="left" vertical="center"/>
      <protection hidden="1"/>
    </xf>
    <xf numFmtId="2" fontId="17" fillId="2" borderId="0" xfId="3" applyNumberFormat="1" applyFont="1" applyFill="1" applyBorder="1" applyAlignment="1" applyProtection="1">
      <alignment horizontal="center" vertical="center"/>
      <protection hidden="1"/>
    </xf>
    <xf numFmtId="0" fontId="39" fillId="4" borderId="0" xfId="0" applyFont="1" applyFill="1" applyBorder="1" applyAlignment="1" applyProtection="1">
      <alignment horizontal="left" vertical="center"/>
      <protection hidden="1"/>
    </xf>
    <xf numFmtId="0" fontId="38" fillId="4" borderId="6" xfId="0" applyFont="1" applyFill="1" applyBorder="1" applyAlignment="1" applyProtection="1">
      <alignment vertical="center"/>
      <protection hidden="1"/>
    </xf>
    <xf numFmtId="0" fontId="17" fillId="4" borderId="12" xfId="0" applyFont="1" applyFill="1" applyBorder="1" applyAlignment="1" applyProtection="1">
      <alignment vertical="center"/>
      <protection hidden="1"/>
    </xf>
    <xf numFmtId="0" fontId="17" fillId="2" borderId="7" xfId="0" applyFont="1" applyFill="1" applyBorder="1" applyAlignment="1" applyProtection="1">
      <alignment horizontal="center" vertical="center"/>
      <protection hidden="1"/>
    </xf>
    <xf numFmtId="0" fontId="17" fillId="4" borderId="8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vertical="center"/>
      <protection hidden="1"/>
    </xf>
    <xf numFmtId="0" fontId="17" fillId="2" borderId="9" xfId="0" applyFont="1" applyFill="1" applyBorder="1" applyAlignment="1" applyProtection="1">
      <alignment horizontal="center" vertical="center"/>
      <protection hidden="1"/>
    </xf>
    <xf numFmtId="2" fontId="17" fillId="2" borderId="0" xfId="0" applyNumberFormat="1" applyFont="1" applyFill="1" applyBorder="1" applyAlignment="1" applyProtection="1">
      <alignment horizontal="left" vertical="center"/>
      <protection hidden="1"/>
    </xf>
  </cellXfs>
  <cellStyles count="4">
    <cellStyle name="Normal" xfId="0" builtinId="0"/>
    <cellStyle name="Normal 5" xfId="3"/>
    <cellStyle name="Porcentagem" xfId="1" builtinId="5"/>
    <cellStyle name="Texto de Aviso" xfId="2" builtinId="11"/>
  </cellStyles>
  <dxfs count="8">
    <dxf>
      <font>
        <u val="none"/>
        <color theme="0"/>
      </font>
      <fill>
        <patternFill patternType="none">
          <bgColor auto="1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 val="none"/>
        <color theme="0"/>
      </font>
      <fill>
        <patternFill patternType="none">
          <bgColor auto="1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91319596464404E-2"/>
          <c:y val="4.29083669824495E-2"/>
          <c:w val="0.85882456167312804"/>
          <c:h val="0.78857612886203998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45-4496-8296-CB9BBBE0DFDD}"/>
            </c:ext>
          </c:extLst>
        </c:ser>
        <c:ser>
          <c:idx val="1"/>
          <c:order val="1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45-4496-8296-CB9BBBE0DFDD}"/>
            </c:ext>
          </c:extLst>
        </c:ser>
        <c:ser>
          <c:idx val="2"/>
          <c:order val="2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945-4496-8296-CB9BBBE0DFDD}"/>
            </c:ext>
          </c:extLst>
        </c:ser>
        <c:ser>
          <c:idx val="3"/>
          <c:order val="3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945-4496-8296-CB9BBBE0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2093051792"/>
        <c:axId val="2067704784"/>
      </c:barChart>
      <c:catAx>
        <c:axId val="209305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67704784"/>
        <c:crosses val="autoZero"/>
        <c:auto val="1"/>
        <c:lblAlgn val="ctr"/>
        <c:lblOffset val="100"/>
        <c:noMultiLvlLbl val="0"/>
      </c:catAx>
      <c:valAx>
        <c:axId val="206770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% da matéria seca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9305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51646213371903"/>
          <c:y val="0.60062265500399703"/>
          <c:w val="0.208010346076029"/>
          <c:h val="0.1993128994381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2</xdr:row>
      <xdr:rowOff>123830</xdr:rowOff>
    </xdr:from>
    <xdr:to>
      <xdr:col>43</xdr:col>
      <xdr:colOff>0</xdr:colOff>
      <xdr:row>40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688623</xdr:colOff>
      <xdr:row>12</xdr:row>
      <xdr:rowOff>104424</xdr:rowOff>
    </xdr:from>
    <xdr:to>
      <xdr:col>16</xdr:col>
      <xdr:colOff>929923</xdr:colOff>
      <xdr:row>18</xdr:row>
      <xdr:rowOff>229440</xdr:rowOff>
    </xdr:to>
    <xdr:sp macro="" textlink="">
      <xdr:nvSpPr>
        <xdr:cNvPr id="3" name="Balão Retangul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643373" y="1850674"/>
          <a:ext cx="5638800" cy="1649016"/>
        </a:xfrm>
        <a:prstGeom prst="wedgeRectCallout">
          <a:avLst>
            <a:gd name="adj1" fmla="val 44920"/>
            <a:gd name="adj2" fmla="val 8649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pt-BR" sz="140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Variable associated with the concentrate type:</a:t>
          </a:r>
        </a:p>
        <a:p>
          <a:endParaRPr lang="pt-BR" sz="1400">
            <a:solidFill>
              <a:schemeClr val="l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>
          <a:r>
            <a:rPr lang="pt-BR" sz="140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Use </a:t>
          </a:r>
          <a:r>
            <a:rPr lang="pt-BR" sz="1600" b="1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D = 1 </a:t>
          </a:r>
          <a:r>
            <a:rPr lang="pt-BR" sz="140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for concentrates containing fiber with lesser potential degradation [cotton meal, cake and seed; sunflower meal and cake; wheat bran; and ground ear corn (GEC)];</a:t>
          </a:r>
        </a:p>
        <a:p>
          <a:endParaRPr lang="pt-BR" sz="1400">
            <a:solidFill>
              <a:schemeClr val="l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>
          <a:r>
            <a:rPr lang="pt-BR" sz="140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Use</a:t>
          </a:r>
          <a:r>
            <a:rPr lang="pt-BR" sz="1400" baseline="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pt-BR" sz="1600" b="1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D = 0 </a:t>
          </a:r>
          <a:r>
            <a:rPr lang="pt-BR" sz="1400">
              <a:solidFill>
                <a:schemeClr val="l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for the other concentrate feeds. </a:t>
          </a:r>
          <a:endParaRPr lang="pt-BR" sz="1400">
            <a:latin typeface="Times New Roman" charset="0"/>
            <a:ea typeface="Times New Roman" charset="0"/>
            <a:cs typeface="Times New Roman" charset="0"/>
          </a:endParaRPr>
        </a:p>
        <a:p>
          <a:pPr algn="l"/>
          <a:endParaRPr lang="pt-BR" sz="1200"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twoCellAnchor>
  <xdr:twoCellAnchor>
    <xdr:from>
      <xdr:col>1</xdr:col>
      <xdr:colOff>1164167</xdr:colOff>
      <xdr:row>41</xdr:row>
      <xdr:rowOff>76001</xdr:rowOff>
    </xdr:from>
    <xdr:to>
      <xdr:col>10</xdr:col>
      <xdr:colOff>145286</xdr:colOff>
      <xdr:row>55</xdr:row>
      <xdr:rowOff>211666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1910292" y="8727876"/>
          <a:ext cx="14554494" cy="3691665"/>
          <a:chOff x="4311560" y="15498035"/>
          <a:chExt cx="13444392" cy="3324406"/>
        </a:xfrm>
      </xdr:grpSpPr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8099133" y="16417201"/>
            <a:ext cx="3286348" cy="1467773"/>
          </a:xfrm>
          <a:prstGeom prst="rect">
            <a:avLst/>
          </a:prstGeom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0575211" y="16394186"/>
            <a:ext cx="3294045" cy="1562465"/>
          </a:xfrm>
          <a:prstGeom prst="rect">
            <a:avLst/>
          </a:prstGeom>
        </xdr:spPr>
      </xdr:pic>
      <xdr:pic>
        <xdr:nvPicPr>
          <xdr:cNvPr id="8" name="Imagem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3066181" y="16328328"/>
            <a:ext cx="3147289" cy="1562464"/>
          </a:xfrm>
          <a:prstGeom prst="rect">
            <a:avLst/>
          </a:prstGeom>
        </xdr:spPr>
      </xdr:pic>
      <xdr:pic>
        <xdr:nvPicPr>
          <xdr:cNvPr id="9" name="Imagem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5334144" y="16397790"/>
            <a:ext cx="3294045" cy="1549571"/>
          </a:xfrm>
          <a:prstGeom prst="rect">
            <a:avLst/>
          </a:prstGeom>
        </xdr:spPr>
      </xdr:pic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5636477" y="16429726"/>
            <a:ext cx="3286348" cy="1422966"/>
          </a:xfrm>
          <a:prstGeom prst="rect">
            <a:avLst/>
          </a:prstGeom>
        </xdr:spPr>
      </xdr:pic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3379869" y="16429726"/>
            <a:ext cx="3286348" cy="1422966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1171222</xdr:colOff>
      <xdr:row>39</xdr:row>
      <xdr:rowOff>225778</xdr:rowOff>
    </xdr:from>
    <xdr:to>
      <xdr:col>15</xdr:col>
      <xdr:colOff>203981</xdr:colOff>
      <xdr:row>60</xdr:row>
      <xdr:rowOff>182778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333" y="8382000"/>
          <a:ext cx="3886981" cy="53615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02"/>
  <sheetViews>
    <sheetView showGridLines="0" showRowColHeaders="0" tabSelected="1" topLeftCell="A2" zoomScale="60" zoomScaleNormal="60" zoomScalePageLayoutView="10" workbookViewId="0">
      <selection activeCell="C13" sqref="C13"/>
    </sheetView>
  </sheetViews>
  <sheetFormatPr defaultColWidth="8.77734375" defaultRowHeight="15.75"/>
  <cols>
    <col min="1" max="1" width="8.77734375" style="10"/>
    <col min="2" max="2" width="31.77734375" style="10" customWidth="1"/>
    <col min="3" max="3" width="23.33203125" style="10" customWidth="1"/>
    <col min="4" max="4" width="28.5546875" style="10" customWidth="1"/>
    <col min="5" max="8" width="15.77734375" style="10" customWidth="1"/>
    <col min="9" max="9" width="16.88671875" style="10" customWidth="1"/>
    <col min="10" max="10" width="18.21875" style="10" customWidth="1"/>
    <col min="11" max="11" width="19.77734375" style="10" customWidth="1"/>
    <col min="12" max="18" width="15.77734375" style="10" customWidth="1"/>
    <col min="19" max="19" width="43.44140625" style="10" customWidth="1"/>
    <col min="20" max="20" width="15.33203125" style="11" bestFit="1" customWidth="1"/>
    <col min="21" max="21" width="9.6640625" style="11" hidden="1" customWidth="1"/>
    <col min="22" max="22" width="9.6640625" style="126" hidden="1" customWidth="1"/>
    <col min="23" max="23" width="10" style="126" hidden="1" customWidth="1"/>
    <col min="24" max="24" width="12.33203125" style="126" hidden="1" customWidth="1"/>
    <col min="25" max="25" width="14.77734375" style="126" hidden="1" customWidth="1"/>
    <col min="26" max="26" width="14.109375" style="126" hidden="1" customWidth="1"/>
    <col min="27" max="27" width="20.77734375" style="126" hidden="1" customWidth="1"/>
    <col min="28" max="39" width="9.6640625" style="126" hidden="1" customWidth="1"/>
    <col min="40" max="40" width="15.6640625" style="126" hidden="1" customWidth="1"/>
    <col min="41" max="41" width="17.44140625" style="148" hidden="1" customWidth="1"/>
    <col min="42" max="42" width="12.44140625" style="149" hidden="1" customWidth="1"/>
    <col min="43" max="44" width="8.77734375" style="149" customWidth="1"/>
    <col min="45" max="46" width="8.77734375" style="149"/>
    <col min="47" max="16384" width="8.77734375" style="10"/>
  </cols>
  <sheetData>
    <row r="1" spans="2:46" s="108" customFormat="1" ht="3" customHeight="1">
      <c r="B1" s="108" t="s">
        <v>40</v>
      </c>
      <c r="C1" s="108" t="s">
        <v>104</v>
      </c>
      <c r="E1" s="108">
        <v>0</v>
      </c>
      <c r="F1" s="108">
        <v>1</v>
      </c>
      <c r="I1" s="108" t="s">
        <v>22</v>
      </c>
      <c r="J1" s="108" t="s">
        <v>21</v>
      </c>
      <c r="M1" s="108" t="s">
        <v>23</v>
      </c>
      <c r="N1" s="108" t="s">
        <v>28</v>
      </c>
      <c r="P1" s="108" t="s">
        <v>30</v>
      </c>
      <c r="Q1" s="108" t="s">
        <v>27</v>
      </c>
      <c r="T1" s="109"/>
      <c r="U1" s="10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46"/>
      <c r="AP1" s="146"/>
      <c r="AQ1" s="146"/>
      <c r="AR1" s="146"/>
      <c r="AS1" s="146"/>
      <c r="AT1" s="146"/>
    </row>
    <row r="2" spans="2:46" s="110" customFormat="1" ht="3" customHeight="1">
      <c r="T2" s="109"/>
      <c r="U2" s="10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46"/>
      <c r="AP2" s="146"/>
      <c r="AQ2" s="146"/>
      <c r="AR2" s="146"/>
      <c r="AS2" s="146"/>
      <c r="AT2" s="146"/>
    </row>
    <row r="3" spans="2:46" s="110" customFormat="1" ht="3" customHeight="1">
      <c r="L3" s="111"/>
      <c r="Q3" s="112"/>
      <c r="T3" s="109"/>
      <c r="U3" s="10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46"/>
      <c r="AP3" s="146"/>
      <c r="AQ3" s="146"/>
      <c r="AR3" s="146"/>
      <c r="AS3" s="146"/>
      <c r="AT3" s="146"/>
    </row>
    <row r="4" spans="2:46" s="110" customFormat="1" ht="3" customHeight="1">
      <c r="L4" s="112"/>
      <c r="M4" s="112"/>
      <c r="N4" s="112"/>
      <c r="O4" s="112"/>
      <c r="P4" s="111"/>
      <c r="Q4" s="113"/>
      <c r="R4" s="113"/>
      <c r="S4" s="113"/>
      <c r="T4" s="109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29"/>
      <c r="AF4" s="155"/>
      <c r="AG4" s="155"/>
      <c r="AH4" s="155"/>
      <c r="AI4" s="155"/>
      <c r="AJ4" s="155"/>
      <c r="AK4" s="155"/>
      <c r="AL4" s="155"/>
      <c r="AM4" s="155"/>
      <c r="AN4" s="129"/>
      <c r="AO4" s="146"/>
      <c r="AP4" s="146"/>
      <c r="AQ4" s="146"/>
      <c r="AR4" s="146"/>
      <c r="AS4" s="146"/>
      <c r="AT4" s="146"/>
    </row>
    <row r="5" spans="2:46" s="110" customFormat="1" ht="3" customHeight="1">
      <c r="T5" s="109"/>
      <c r="U5" s="10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46"/>
      <c r="AP5" s="146"/>
      <c r="AQ5" s="146"/>
      <c r="AR5" s="146"/>
      <c r="AS5" s="146"/>
      <c r="AT5" s="146"/>
    </row>
    <row r="6" spans="2:46" s="105" customFormat="1" ht="20.100000000000001" customHeight="1">
      <c r="B6" s="159" t="s">
        <v>108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07"/>
      <c r="S6" s="106"/>
      <c r="T6" s="104"/>
      <c r="U6" s="104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47"/>
      <c r="AP6" s="147"/>
      <c r="AQ6" s="147"/>
      <c r="AR6" s="147"/>
      <c r="AS6" s="147"/>
      <c r="AT6" s="147"/>
    </row>
    <row r="7" spans="2:46" ht="20.100000000000001" customHeight="1"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97"/>
      <c r="S7" s="14"/>
      <c r="AO7" s="149"/>
    </row>
    <row r="8" spans="2:46" ht="20.100000000000001" customHeight="1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97"/>
      <c r="S8" s="14"/>
      <c r="AO8" s="149"/>
    </row>
    <row r="9" spans="2:46" ht="5.0999999999999996" customHeight="1"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AO9" s="149"/>
    </row>
    <row r="10" spans="2:46" ht="20.100000000000001" customHeight="1">
      <c r="B10" s="15"/>
      <c r="M10" s="13"/>
      <c r="N10" s="13"/>
      <c r="O10" s="13"/>
      <c r="P10" s="13"/>
      <c r="Q10" s="13"/>
      <c r="R10" s="13"/>
      <c r="S10" s="13"/>
      <c r="U10" s="96"/>
      <c r="V10" s="131"/>
      <c r="W10" s="131"/>
      <c r="X10" s="131"/>
      <c r="Y10" s="131"/>
      <c r="Z10" s="131"/>
      <c r="AA10" s="131"/>
      <c r="AB10" s="131"/>
      <c r="AC10" s="131"/>
      <c r="AD10" s="131"/>
      <c r="AF10" s="131"/>
      <c r="AG10" s="131"/>
      <c r="AH10" s="131"/>
      <c r="AI10" s="131"/>
      <c r="AJ10" s="131"/>
      <c r="AK10" s="131"/>
      <c r="AL10" s="131"/>
      <c r="AM10" s="131"/>
      <c r="AO10" s="149"/>
    </row>
    <row r="11" spans="2:46" ht="20.100000000000001" customHeight="1">
      <c r="B11" s="16" t="s">
        <v>110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8"/>
      <c r="N11" s="18"/>
      <c r="O11" s="18"/>
      <c r="P11" s="18"/>
      <c r="Q11" s="18"/>
      <c r="R11" s="15"/>
      <c r="S11" s="13"/>
      <c r="U11" s="96"/>
      <c r="V11" s="131"/>
      <c r="W11" s="131"/>
      <c r="X11" s="131"/>
      <c r="Y11" s="131"/>
      <c r="Z11" s="131"/>
      <c r="AA11" s="131"/>
      <c r="AB11" s="131"/>
      <c r="AC11" s="131"/>
      <c r="AD11" s="131"/>
      <c r="AF11" s="131"/>
      <c r="AG11" s="131"/>
      <c r="AH11" s="131"/>
      <c r="AI11" s="131"/>
      <c r="AJ11" s="131"/>
      <c r="AK11" s="131"/>
      <c r="AL11" s="131"/>
      <c r="AM11" s="131"/>
      <c r="AO11" s="149"/>
    </row>
    <row r="12" spans="2:46" ht="20.100000000000001" customHeight="1" thickBot="1">
      <c r="B12" s="19" t="s">
        <v>0</v>
      </c>
      <c r="C12" s="20"/>
      <c r="D12" s="11"/>
      <c r="E12" s="11" t="s">
        <v>24</v>
      </c>
      <c r="F12" s="12"/>
      <c r="G12" s="11" t="s">
        <v>25</v>
      </c>
      <c r="H12" s="11"/>
      <c r="I12" s="11"/>
      <c r="J12" s="99"/>
      <c r="K12" s="98"/>
      <c r="L12" s="100"/>
      <c r="M12" s="21"/>
      <c r="N12" s="21"/>
      <c r="O12" s="21"/>
      <c r="P12" s="21"/>
      <c r="Q12" s="21"/>
      <c r="R12" s="15"/>
      <c r="S12" s="13"/>
      <c r="U12" s="96"/>
      <c r="V12" s="131"/>
      <c r="W12" s="131"/>
      <c r="X12" s="131"/>
      <c r="Y12" s="131"/>
      <c r="Z12" s="131"/>
      <c r="AA12" s="131"/>
      <c r="AB12" s="131"/>
      <c r="AC12" s="131"/>
      <c r="AD12" s="131"/>
      <c r="AF12" s="131"/>
      <c r="AG12" s="131"/>
      <c r="AH12" s="131"/>
      <c r="AI12" s="131"/>
      <c r="AJ12" s="131"/>
      <c r="AK12" s="131"/>
      <c r="AL12" s="131"/>
      <c r="AM12" s="131"/>
      <c r="AO12" s="149"/>
    </row>
    <row r="13" spans="2:46" ht="20.100000000000001" customHeight="1">
      <c r="B13" s="22" t="s">
        <v>31</v>
      </c>
      <c r="C13" s="7" t="s">
        <v>21</v>
      </c>
      <c r="D13" s="11"/>
      <c r="E13" s="11"/>
      <c r="F13" s="11"/>
      <c r="G13" s="11" t="s">
        <v>11</v>
      </c>
      <c r="H13" s="11" t="s">
        <v>26</v>
      </c>
      <c r="I13" s="11" t="s">
        <v>29</v>
      </c>
      <c r="J13" s="99"/>
      <c r="K13" s="98"/>
      <c r="L13" s="100"/>
      <c r="M13" s="21"/>
      <c r="N13" s="21"/>
      <c r="O13" s="21"/>
      <c r="P13" s="21"/>
      <c r="Q13" s="21"/>
      <c r="R13" s="15"/>
      <c r="S13" s="13"/>
      <c r="U13" s="96"/>
      <c r="V13" s="131"/>
      <c r="W13" s="131"/>
      <c r="X13" s="131"/>
      <c r="Y13" s="131"/>
      <c r="Z13" s="131"/>
      <c r="AA13" s="131"/>
      <c r="AB13" s="131"/>
      <c r="AC13" s="131"/>
      <c r="AD13" s="131"/>
      <c r="AF13" s="131"/>
      <c r="AG13" s="131"/>
      <c r="AH13" s="131"/>
      <c r="AI13" s="131"/>
      <c r="AJ13" s="131"/>
      <c r="AK13" s="131"/>
      <c r="AL13" s="131"/>
      <c r="AM13" s="131"/>
      <c r="AO13" s="149"/>
    </row>
    <row r="14" spans="2:46" ht="20.100000000000001" customHeight="1">
      <c r="B14" s="152" t="s">
        <v>32</v>
      </c>
      <c r="C14" s="8" t="s">
        <v>27</v>
      </c>
      <c r="D14" s="23" t="s">
        <v>45</v>
      </c>
      <c r="E14" s="24">
        <f>IF(C14="Zebu",(-2.7878+(0.08789*C18^0.75)+(5.0487*C19)-(1.6835*C19^2)),IF(C14="Crossbreed",(-2.6098+(0.08844*C18^0.75)+(4.4672*C19)-1.3579*C19^2)))</f>
        <v>9.216111345718744</v>
      </c>
      <c r="F14" s="11"/>
      <c r="G14" s="24">
        <f>-1.7824+0.07765*C18^0.75+4.0415*C19-0.8973*C19^2</f>
        <v>9.9548469889479918</v>
      </c>
      <c r="H14" s="25">
        <f>-0.6273+0.06453*C18^0.75+3.871*C19-0.614*C19^2</f>
        <v>10.626643423300887</v>
      </c>
      <c r="I14" s="25">
        <f>-2.8836+0.08435*C18^0.75+4.5145*C19-0.9631*C19^2</f>
        <v>10.152935374987289</v>
      </c>
      <c r="J14" s="98"/>
      <c r="K14" s="98"/>
      <c r="L14" s="100"/>
      <c r="M14" s="21"/>
      <c r="N14" s="21"/>
      <c r="O14" s="21"/>
      <c r="P14" s="21"/>
      <c r="Q14" s="21"/>
      <c r="R14" s="15"/>
      <c r="S14" s="13"/>
      <c r="U14" s="96"/>
      <c r="V14" s="131"/>
      <c r="W14" s="131"/>
      <c r="X14" s="131"/>
      <c r="Y14" s="131"/>
      <c r="Z14" s="131"/>
      <c r="AA14" s="131"/>
      <c r="AB14" s="131"/>
      <c r="AC14" s="131"/>
      <c r="AD14" s="131"/>
      <c r="AF14" s="131"/>
      <c r="AG14" s="131"/>
      <c r="AH14" s="131"/>
      <c r="AI14" s="131"/>
      <c r="AJ14" s="131"/>
      <c r="AK14" s="131"/>
      <c r="AL14" s="131"/>
      <c r="AM14" s="131"/>
      <c r="AO14" s="149"/>
    </row>
    <row r="15" spans="2:46" ht="20.100000000000001" customHeight="1">
      <c r="B15" s="153"/>
      <c r="C15" s="8" t="s">
        <v>23</v>
      </c>
      <c r="D15" s="80"/>
      <c r="E15" s="11"/>
      <c r="F15" s="11"/>
      <c r="G15" s="12"/>
      <c r="H15" s="12"/>
      <c r="I15" s="12"/>
      <c r="J15" s="98"/>
      <c r="K15" s="98"/>
      <c r="L15" s="100"/>
      <c r="M15" s="21"/>
      <c r="N15" s="21"/>
      <c r="O15" s="21"/>
      <c r="P15" s="21"/>
      <c r="Q15" s="21"/>
      <c r="R15" s="15"/>
      <c r="S15" s="13"/>
      <c r="U15" s="96"/>
      <c r="V15" s="131"/>
      <c r="W15" s="131"/>
      <c r="X15" s="131"/>
      <c r="Y15" s="131"/>
      <c r="Z15" s="131"/>
      <c r="AA15" s="131"/>
      <c r="AB15" s="131"/>
      <c r="AC15" s="131"/>
      <c r="AD15" s="131"/>
      <c r="AF15" s="131"/>
      <c r="AG15" s="131"/>
      <c r="AH15" s="131"/>
      <c r="AI15" s="131"/>
      <c r="AJ15" s="131"/>
      <c r="AK15" s="131"/>
      <c r="AL15" s="131"/>
      <c r="AM15" s="131"/>
      <c r="AO15" s="149"/>
    </row>
    <row r="16" spans="2:46" ht="20.100000000000001" customHeight="1">
      <c r="B16" s="6" t="s">
        <v>33</v>
      </c>
      <c r="C16" s="9">
        <v>350</v>
      </c>
      <c r="D16" s="11"/>
      <c r="E16" s="11"/>
      <c r="F16" s="11"/>
      <c r="G16" s="24">
        <f>IF(C14="Zebu",G14,IF(C14="Crossbreed",IF(C15="Beef",H14,I14)))</f>
        <v>10.626643423300887</v>
      </c>
      <c r="H16" s="12"/>
      <c r="I16" s="12"/>
      <c r="J16" s="98"/>
      <c r="K16" s="98"/>
      <c r="L16" s="100"/>
      <c r="M16" s="21"/>
      <c r="N16" s="21"/>
      <c r="O16" s="21"/>
      <c r="P16" s="21"/>
      <c r="Q16" s="21"/>
      <c r="R16" s="15"/>
      <c r="S16" s="13"/>
      <c r="U16" s="96"/>
      <c r="V16" s="131"/>
      <c r="W16" s="131"/>
      <c r="X16" s="131"/>
      <c r="Y16" s="131"/>
      <c r="Z16" s="131"/>
      <c r="AA16" s="131"/>
      <c r="AB16" s="131"/>
      <c r="AC16" s="131"/>
      <c r="AD16" s="131"/>
      <c r="AF16" s="131"/>
      <c r="AG16" s="131"/>
      <c r="AH16" s="131"/>
      <c r="AI16" s="131"/>
      <c r="AJ16" s="131"/>
      <c r="AK16" s="131"/>
      <c r="AL16" s="131"/>
      <c r="AM16" s="131"/>
      <c r="AO16" s="149"/>
    </row>
    <row r="17" spans="1:41" ht="20.100000000000001" customHeight="1">
      <c r="B17" s="6" t="s">
        <v>34</v>
      </c>
      <c r="C17" s="9">
        <v>500</v>
      </c>
      <c r="D17" s="12"/>
      <c r="E17" s="11"/>
      <c r="F17" s="11"/>
      <c r="G17" s="11"/>
      <c r="H17" s="12"/>
      <c r="I17" s="12"/>
      <c r="J17" s="101"/>
      <c r="K17" s="101"/>
      <c r="L17" s="102"/>
      <c r="M17" s="27"/>
      <c r="O17" s="13"/>
      <c r="P17" s="13"/>
      <c r="Q17" s="13"/>
      <c r="R17" s="13"/>
      <c r="S17" s="13"/>
      <c r="U17" s="96"/>
      <c r="V17" s="131"/>
      <c r="W17" s="131"/>
      <c r="X17" s="131"/>
      <c r="Y17" s="131" t="s">
        <v>105</v>
      </c>
      <c r="Z17" s="131"/>
      <c r="AA17" s="131"/>
      <c r="AB17" s="131"/>
      <c r="AC17" s="131"/>
      <c r="AD17" s="131"/>
      <c r="AF17" s="131"/>
      <c r="AG17" s="131"/>
      <c r="AH17" s="131"/>
      <c r="AI17" s="131"/>
      <c r="AJ17" s="131"/>
      <c r="AK17" s="131"/>
      <c r="AL17" s="131"/>
      <c r="AM17" s="131"/>
      <c r="AO17" s="149"/>
    </row>
    <row r="18" spans="1:41" ht="20.100000000000001" customHeight="1">
      <c r="B18" s="120" t="s">
        <v>35</v>
      </c>
      <c r="C18" s="28">
        <f>(C17+C16)/2</f>
        <v>425</v>
      </c>
      <c r="D18" s="99"/>
      <c r="E18" s="98"/>
      <c r="F18" s="98"/>
      <c r="G18" s="98"/>
      <c r="H18" s="99"/>
      <c r="I18" s="99"/>
      <c r="J18" s="101"/>
      <c r="K18" s="101"/>
      <c r="L18" s="102"/>
      <c r="M18" s="27"/>
      <c r="O18" s="13"/>
      <c r="P18" s="13"/>
      <c r="Q18" s="13"/>
      <c r="R18" s="13"/>
      <c r="S18" s="13"/>
      <c r="U18" s="96"/>
      <c r="V18" s="131"/>
      <c r="W18" s="131"/>
      <c r="X18" s="131"/>
      <c r="Y18" s="131"/>
      <c r="Z18" s="131"/>
      <c r="AA18" s="131"/>
      <c r="AB18" s="131"/>
      <c r="AC18" s="131"/>
      <c r="AD18" s="131"/>
      <c r="AF18" s="131"/>
      <c r="AG18" s="131"/>
      <c r="AH18" s="131"/>
      <c r="AI18" s="131"/>
      <c r="AJ18" s="131"/>
      <c r="AK18" s="131"/>
      <c r="AL18" s="131"/>
      <c r="AM18" s="131"/>
      <c r="AO18" s="149"/>
    </row>
    <row r="19" spans="1:41" ht="20.100000000000001" customHeight="1">
      <c r="B19" s="120" t="s">
        <v>36</v>
      </c>
      <c r="C19" s="8">
        <v>1.95</v>
      </c>
      <c r="D19" s="99"/>
      <c r="E19" s="160" t="str">
        <f>IF(C25="Forage","",IF(C26="Forage","",IF(C27="Forage","",IF(C28="Forage","",IF(C29="Forage","",IF(C30="Forage","",IF(C31="Forage","",IF(C32="Forage","",IF(C33="Forage","",IF(C34="Forage","","Error: You must add at least one forage feed."))))))))))</f>
        <v/>
      </c>
      <c r="F19" s="160"/>
      <c r="G19" s="160"/>
      <c r="H19" s="160"/>
      <c r="I19" s="160"/>
      <c r="J19" s="160"/>
      <c r="K19" s="160"/>
      <c r="L19" s="160"/>
      <c r="M19" s="27"/>
      <c r="O19" s="13"/>
      <c r="P19" s="13"/>
      <c r="Q19" s="13"/>
      <c r="R19" s="13"/>
      <c r="S19" s="13"/>
      <c r="U19" s="96"/>
      <c r="V19" s="131"/>
      <c r="W19" s="131"/>
      <c r="X19" s="131"/>
      <c r="Y19" s="131"/>
      <c r="Z19" s="131"/>
      <c r="AA19" s="131"/>
      <c r="AB19" s="131"/>
      <c r="AC19" s="131"/>
      <c r="AD19" s="131"/>
      <c r="AF19" s="131"/>
      <c r="AG19" s="131"/>
      <c r="AH19" s="131"/>
      <c r="AI19" s="131"/>
      <c r="AJ19" s="131"/>
      <c r="AK19" s="131"/>
      <c r="AL19" s="131"/>
      <c r="AM19" s="131"/>
      <c r="AO19" s="149"/>
    </row>
    <row r="20" spans="1:41" ht="20.100000000000001" customHeight="1">
      <c r="B20" s="29" t="s">
        <v>37</v>
      </c>
      <c r="C20" s="30">
        <f>IF(C13="BR-CORTE 2010",E14,G16)</f>
        <v>10.626643423300887</v>
      </c>
      <c r="D20" s="99"/>
      <c r="E20" s="160"/>
      <c r="F20" s="160"/>
      <c r="G20" s="160"/>
      <c r="H20" s="160"/>
      <c r="I20" s="160"/>
      <c r="J20" s="160"/>
      <c r="K20" s="160"/>
      <c r="L20" s="160"/>
      <c r="M20" s="27"/>
      <c r="O20" s="13"/>
      <c r="P20" s="13"/>
      <c r="Q20" s="13"/>
      <c r="R20" s="13"/>
      <c r="S20" s="13"/>
      <c r="U20" s="96"/>
      <c r="V20" s="131"/>
      <c r="W20" s="131"/>
      <c r="X20" s="131"/>
      <c r="Y20" s="131"/>
      <c r="Z20" s="131"/>
      <c r="AA20" s="131"/>
      <c r="AB20" s="131"/>
      <c r="AC20" s="131"/>
      <c r="AD20" s="131"/>
      <c r="AF20" s="131"/>
      <c r="AG20" s="131"/>
      <c r="AH20" s="131"/>
      <c r="AI20" s="131"/>
      <c r="AJ20" s="131"/>
      <c r="AK20" s="131"/>
      <c r="AL20" s="131"/>
      <c r="AM20" s="131"/>
      <c r="AO20" s="149"/>
    </row>
    <row r="21" spans="1:41" ht="20.100000000000001" customHeight="1" thickBot="1">
      <c r="B21" s="31" t="s">
        <v>72</v>
      </c>
      <c r="C21" s="32">
        <f>IFERROR((C20*1000)/C18,0)</f>
        <v>25.00386687835503</v>
      </c>
      <c r="D21" s="114" t="str">
        <f>IF(C21&lt;=0,"Error: Check your animal data input.","")</f>
        <v/>
      </c>
      <c r="E21" s="115"/>
      <c r="F21" s="115"/>
      <c r="G21" s="115"/>
      <c r="H21" s="115"/>
      <c r="I21" s="115"/>
      <c r="J21" s="115"/>
      <c r="K21" s="115"/>
      <c r="L21" s="115"/>
      <c r="M21" s="27"/>
      <c r="O21" s="13"/>
      <c r="P21" s="13"/>
      <c r="Q21" s="13"/>
      <c r="R21" s="13"/>
      <c r="S21" s="13"/>
      <c r="U21" s="96"/>
      <c r="V21" s="131"/>
      <c r="W21" s="131"/>
      <c r="X21" s="131"/>
      <c r="Y21" s="131"/>
      <c r="Z21" s="131"/>
      <c r="AA21" s="131"/>
      <c r="AB21" s="131"/>
      <c r="AC21" s="131"/>
      <c r="AD21" s="131"/>
      <c r="AF21" s="131"/>
      <c r="AG21" s="131"/>
      <c r="AH21" s="131"/>
      <c r="AI21" s="131"/>
      <c r="AJ21" s="131"/>
      <c r="AK21" s="131"/>
      <c r="AL21" s="131"/>
      <c r="AM21" s="131"/>
      <c r="AO21" s="149"/>
    </row>
    <row r="22" spans="1:41" ht="3" customHeight="1">
      <c r="B22" s="33"/>
      <c r="C22" s="34"/>
      <c r="D22" s="26"/>
      <c r="F22" s="26"/>
      <c r="G22" s="26"/>
      <c r="H22" s="26"/>
      <c r="I22" s="26"/>
      <c r="J22" s="26"/>
      <c r="K22" s="26"/>
      <c r="L22" s="26"/>
      <c r="M22" s="27"/>
      <c r="O22" s="13"/>
      <c r="P22" s="13"/>
      <c r="Q22" s="13"/>
      <c r="R22" s="13"/>
      <c r="S22" s="13"/>
      <c r="U22" s="96"/>
      <c r="V22" s="131"/>
      <c r="W22" s="131"/>
      <c r="X22" s="131"/>
      <c r="Y22" s="131"/>
      <c r="Z22" s="131"/>
      <c r="AA22" s="131"/>
      <c r="AB22" s="131"/>
      <c r="AC22" s="131"/>
      <c r="AD22" s="131"/>
      <c r="AF22" s="131"/>
      <c r="AG22" s="131"/>
      <c r="AH22" s="131"/>
      <c r="AI22" s="131"/>
      <c r="AJ22" s="131"/>
      <c r="AK22" s="131"/>
      <c r="AL22" s="131"/>
      <c r="AM22" s="131"/>
      <c r="AO22" s="149"/>
    </row>
    <row r="23" spans="1:41" ht="3" customHeight="1">
      <c r="B23" s="35"/>
      <c r="D23" s="26"/>
      <c r="E23" s="26"/>
      <c r="F23" s="26"/>
      <c r="G23" s="26"/>
      <c r="H23" s="26"/>
      <c r="I23" s="26"/>
      <c r="J23" s="26"/>
      <c r="K23" s="26"/>
      <c r="L23" s="26"/>
      <c r="M23" s="27"/>
      <c r="O23" s="13"/>
      <c r="P23" s="13"/>
      <c r="Q23" s="13"/>
      <c r="R23" s="13"/>
      <c r="S23" s="13"/>
      <c r="U23" s="96"/>
      <c r="V23" s="131"/>
      <c r="W23" s="131"/>
      <c r="X23" s="131"/>
      <c r="Y23" s="131"/>
      <c r="Z23" s="131"/>
      <c r="AA23" s="131"/>
      <c r="AB23" s="131"/>
      <c r="AC23" s="131"/>
      <c r="AD23" s="131"/>
      <c r="AF23" s="131"/>
      <c r="AG23" s="131"/>
      <c r="AH23" s="131"/>
      <c r="AI23" s="131"/>
      <c r="AJ23" s="131"/>
      <c r="AK23" s="131"/>
      <c r="AL23" s="131"/>
      <c r="AM23" s="131"/>
      <c r="AO23" s="149"/>
    </row>
    <row r="24" spans="1:41" ht="20.100000000000001" customHeight="1">
      <c r="B24" s="19" t="s">
        <v>38</v>
      </c>
      <c r="C24" s="13" t="s">
        <v>39</v>
      </c>
      <c r="D24" s="13" t="s">
        <v>70</v>
      </c>
      <c r="E24" s="13" t="s">
        <v>44</v>
      </c>
      <c r="F24" s="13" t="s">
        <v>48</v>
      </c>
      <c r="G24" s="13" t="s">
        <v>50</v>
      </c>
      <c r="H24" s="13" t="s">
        <v>59</v>
      </c>
      <c r="I24" s="13" t="s">
        <v>71</v>
      </c>
      <c r="J24" s="13" t="s">
        <v>46</v>
      </c>
      <c r="K24" s="13" t="s">
        <v>86</v>
      </c>
      <c r="L24" s="13" t="s">
        <v>57</v>
      </c>
      <c r="M24" s="13" t="s">
        <v>62</v>
      </c>
      <c r="N24" s="13" t="s">
        <v>63</v>
      </c>
      <c r="O24" s="13" t="s">
        <v>66</v>
      </c>
      <c r="P24" s="13" t="s">
        <v>68</v>
      </c>
      <c r="Q24" s="13" t="s">
        <v>3</v>
      </c>
      <c r="U24" s="11" t="s">
        <v>51</v>
      </c>
      <c r="V24" s="126" t="s">
        <v>52</v>
      </c>
      <c r="X24" s="131"/>
      <c r="Y24" s="132" t="s">
        <v>1</v>
      </c>
      <c r="Z24" s="131" t="s">
        <v>2</v>
      </c>
      <c r="AA24" s="131" t="s">
        <v>83</v>
      </c>
      <c r="AB24" s="131" t="s">
        <v>47</v>
      </c>
      <c r="AC24" s="131" t="s">
        <v>49</v>
      </c>
      <c r="AD24" s="131" t="s">
        <v>53</v>
      </c>
      <c r="AE24" s="131" t="s">
        <v>60</v>
      </c>
      <c r="AF24" s="131" t="s">
        <v>61</v>
      </c>
      <c r="AG24" s="131" t="s">
        <v>4</v>
      </c>
      <c r="AH24" s="131" t="s">
        <v>54</v>
      </c>
      <c r="AI24" s="131" t="s">
        <v>58</v>
      </c>
      <c r="AJ24" s="131" t="s">
        <v>5</v>
      </c>
      <c r="AK24" s="131" t="s">
        <v>64</v>
      </c>
      <c r="AL24" s="131" t="s">
        <v>67</v>
      </c>
      <c r="AM24" s="131" t="s">
        <v>69</v>
      </c>
      <c r="AN24" s="126" t="s">
        <v>6</v>
      </c>
      <c r="AO24" s="149"/>
    </row>
    <row r="25" spans="1:41" ht="20.100000000000001" customHeight="1">
      <c r="A25" s="64">
        <v>1</v>
      </c>
      <c r="B25" s="14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03">
        <f>F25-J25-K25-(G25-I25+H25)</f>
        <v>0</v>
      </c>
      <c r="O25" s="1"/>
      <c r="P25" s="1"/>
      <c r="Q25" s="2"/>
      <c r="U25" s="11">
        <v>0.95</v>
      </c>
      <c r="V25" s="133">
        <f>AH39</f>
        <v>0</v>
      </c>
      <c r="X25" s="126">
        <v>1</v>
      </c>
      <c r="Y25" s="134">
        <f>B25</f>
        <v>0</v>
      </c>
      <c r="Z25" s="128">
        <f>C25</f>
        <v>0</v>
      </c>
      <c r="AA25" s="128">
        <f t="shared" ref="AA25:AA32" si="0">IF($C25="Forage",D25,0)</f>
        <v>0</v>
      </c>
      <c r="AB25" s="128">
        <f t="shared" ref="AB25:AB32" si="1">IF($C25="Forage",E25,0)</f>
        <v>0</v>
      </c>
      <c r="AC25" s="128">
        <f t="shared" ref="AC25:AC32" si="2">IF($C25="Forage",F25,0)</f>
        <v>0</v>
      </c>
      <c r="AD25" s="128">
        <f t="shared" ref="AD25:AD32" si="3">IF($C25="Forage",G25,0)</f>
        <v>0</v>
      </c>
      <c r="AE25" s="128">
        <f t="shared" ref="AE25:AE32" si="4">IF($C25="Forage",H25,0)</f>
        <v>0</v>
      </c>
      <c r="AF25" s="128">
        <f t="shared" ref="AF25:AF32" si="5">IF($C25="Forage",I25,0)</f>
        <v>0</v>
      </c>
      <c r="AG25" s="128">
        <f t="shared" ref="AG25:AG32" si="6">IF($C25="Forage",J25,0)</f>
        <v>0</v>
      </c>
      <c r="AH25" s="128">
        <f t="shared" ref="AH25:AH32" si="7">IF($C25="Forage",K25,0)</f>
        <v>0</v>
      </c>
      <c r="AI25" s="128">
        <f t="shared" ref="AI25:AI32" si="8">IF($C25="Forage",L25,0)</f>
        <v>0</v>
      </c>
      <c r="AJ25" s="128">
        <f t="shared" ref="AJ25:AJ32" si="9">IF($C25="Forage",M25,0)</f>
        <v>0</v>
      </c>
      <c r="AK25" s="128">
        <f t="shared" ref="AK25:AK32" si="10">IF($C25="Forage",N25,0)</f>
        <v>0</v>
      </c>
      <c r="AL25" s="128">
        <f t="shared" ref="AL25:AL32" si="11">IF($C25="Forage",O25,0)</f>
        <v>0</v>
      </c>
      <c r="AM25" s="128">
        <f t="shared" ref="AM25:AM32" si="12">IF($C25="Forage",P25,0)</f>
        <v>0</v>
      </c>
      <c r="AN25" s="126">
        <f>IF(AA25=0,0,AA25/(AB25/100))</f>
        <v>0</v>
      </c>
      <c r="AO25" s="149"/>
    </row>
    <row r="26" spans="1:41" ht="20.100000000000001" customHeight="1">
      <c r="A26" s="64">
        <v>2</v>
      </c>
      <c r="B26" s="14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03">
        <f t="shared" ref="N26:N32" si="13">F26-J26-K26-(G26-I26+H26)</f>
        <v>0</v>
      </c>
      <c r="O26" s="1"/>
      <c r="P26" s="1"/>
      <c r="Q26" s="2"/>
      <c r="W26" s="133"/>
      <c r="X26" s="126">
        <v>2</v>
      </c>
      <c r="Y26" s="134">
        <f t="shared" ref="Y26:Z34" si="14">B26</f>
        <v>0</v>
      </c>
      <c r="Z26" s="128">
        <f t="shared" si="14"/>
        <v>0</v>
      </c>
      <c r="AA26" s="128">
        <f t="shared" si="0"/>
        <v>0</v>
      </c>
      <c r="AB26" s="128">
        <f t="shared" si="1"/>
        <v>0</v>
      </c>
      <c r="AC26" s="128">
        <f t="shared" si="2"/>
        <v>0</v>
      </c>
      <c r="AD26" s="128">
        <f t="shared" si="3"/>
        <v>0</v>
      </c>
      <c r="AE26" s="128">
        <f t="shared" si="4"/>
        <v>0</v>
      </c>
      <c r="AF26" s="128">
        <f t="shared" si="5"/>
        <v>0</v>
      </c>
      <c r="AG26" s="128">
        <f t="shared" si="6"/>
        <v>0</v>
      </c>
      <c r="AH26" s="128">
        <f t="shared" si="7"/>
        <v>0</v>
      </c>
      <c r="AI26" s="128">
        <f t="shared" si="8"/>
        <v>0</v>
      </c>
      <c r="AJ26" s="128">
        <f t="shared" si="9"/>
        <v>0</v>
      </c>
      <c r="AK26" s="128">
        <f t="shared" si="10"/>
        <v>0</v>
      </c>
      <c r="AL26" s="128">
        <f t="shared" si="11"/>
        <v>0</v>
      </c>
      <c r="AM26" s="128">
        <f t="shared" si="12"/>
        <v>0</v>
      </c>
      <c r="AN26" s="126">
        <f t="shared" ref="AN26:AN34" si="15">IF(AA26=0,0,AA26/(AB26/100))</f>
        <v>0</v>
      </c>
      <c r="AO26" s="149"/>
    </row>
    <row r="27" spans="1:41" ht="20.100000000000001" customHeight="1">
      <c r="A27" s="64">
        <v>3</v>
      </c>
      <c r="B27" s="145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03">
        <f t="shared" si="13"/>
        <v>0</v>
      </c>
      <c r="O27" s="1"/>
      <c r="P27" s="1"/>
      <c r="Q27" s="2"/>
      <c r="W27" s="133"/>
      <c r="X27" s="126">
        <v>3</v>
      </c>
      <c r="Y27" s="134">
        <f t="shared" si="14"/>
        <v>0</v>
      </c>
      <c r="Z27" s="128">
        <f t="shared" si="14"/>
        <v>0</v>
      </c>
      <c r="AA27" s="128">
        <f t="shared" si="0"/>
        <v>0</v>
      </c>
      <c r="AB27" s="128">
        <f t="shared" si="1"/>
        <v>0</v>
      </c>
      <c r="AC27" s="128">
        <f t="shared" si="2"/>
        <v>0</v>
      </c>
      <c r="AD27" s="128">
        <f t="shared" si="3"/>
        <v>0</v>
      </c>
      <c r="AE27" s="128">
        <f t="shared" si="4"/>
        <v>0</v>
      </c>
      <c r="AF27" s="128">
        <f t="shared" si="5"/>
        <v>0</v>
      </c>
      <c r="AG27" s="128">
        <f t="shared" si="6"/>
        <v>0</v>
      </c>
      <c r="AH27" s="128">
        <f t="shared" si="7"/>
        <v>0</v>
      </c>
      <c r="AI27" s="128">
        <f t="shared" si="8"/>
        <v>0</v>
      </c>
      <c r="AJ27" s="128">
        <f t="shared" si="9"/>
        <v>0</v>
      </c>
      <c r="AK27" s="128">
        <f t="shared" si="10"/>
        <v>0</v>
      </c>
      <c r="AL27" s="128">
        <f t="shared" si="11"/>
        <v>0</v>
      </c>
      <c r="AM27" s="128">
        <f t="shared" si="12"/>
        <v>0</v>
      </c>
      <c r="AN27" s="126">
        <f t="shared" si="15"/>
        <v>0</v>
      </c>
    </row>
    <row r="28" spans="1:41" ht="20.100000000000001" customHeight="1">
      <c r="A28" s="64">
        <v>4</v>
      </c>
      <c r="B28" s="145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03">
        <f>F28-J28-K28-(G28-I28+H28)</f>
        <v>0</v>
      </c>
      <c r="O28" s="1"/>
      <c r="P28" s="1"/>
      <c r="Q28" s="2"/>
      <c r="W28" s="133"/>
      <c r="X28" s="126">
        <v>4</v>
      </c>
      <c r="Y28" s="134">
        <f t="shared" si="14"/>
        <v>0</v>
      </c>
      <c r="Z28" s="128">
        <f t="shared" si="14"/>
        <v>0</v>
      </c>
      <c r="AA28" s="128">
        <f t="shared" ref="AA28:AJ29" si="16">IF($C28="Forage",D28,0)</f>
        <v>0</v>
      </c>
      <c r="AB28" s="128">
        <f t="shared" si="16"/>
        <v>0</v>
      </c>
      <c r="AC28" s="128">
        <f t="shared" si="16"/>
        <v>0</v>
      </c>
      <c r="AD28" s="128">
        <f t="shared" si="16"/>
        <v>0</v>
      </c>
      <c r="AE28" s="128">
        <f t="shared" si="16"/>
        <v>0</v>
      </c>
      <c r="AF28" s="128">
        <f t="shared" si="16"/>
        <v>0</v>
      </c>
      <c r="AG28" s="128">
        <f t="shared" si="16"/>
        <v>0</v>
      </c>
      <c r="AH28" s="128">
        <f t="shared" si="16"/>
        <v>0</v>
      </c>
      <c r="AI28" s="128">
        <f t="shared" si="16"/>
        <v>0</v>
      </c>
      <c r="AJ28" s="128">
        <f t="shared" si="16"/>
        <v>0</v>
      </c>
      <c r="AK28" s="128">
        <f t="shared" si="10"/>
        <v>0</v>
      </c>
      <c r="AL28" s="128">
        <f t="shared" si="11"/>
        <v>0</v>
      </c>
      <c r="AM28" s="128">
        <f t="shared" si="12"/>
        <v>0</v>
      </c>
      <c r="AN28" s="126">
        <f t="shared" si="15"/>
        <v>0</v>
      </c>
    </row>
    <row r="29" spans="1:41" ht="20.100000000000001" customHeight="1">
      <c r="A29" s="64">
        <v>5</v>
      </c>
      <c r="B29" s="145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03">
        <f>F29-J29-K29-(G29-I29+H29)</f>
        <v>0</v>
      </c>
      <c r="O29" s="1"/>
      <c r="P29" s="1"/>
      <c r="Q29" s="2"/>
      <c r="W29" s="133"/>
      <c r="X29" s="126">
        <v>5</v>
      </c>
      <c r="Y29" s="134">
        <f t="shared" si="14"/>
        <v>0</v>
      </c>
      <c r="Z29" s="128">
        <f t="shared" si="14"/>
        <v>0</v>
      </c>
      <c r="AA29" s="128">
        <f t="shared" si="16"/>
        <v>0</v>
      </c>
      <c r="AB29" s="128">
        <f t="shared" si="16"/>
        <v>0</v>
      </c>
      <c r="AC29" s="128">
        <f t="shared" si="16"/>
        <v>0</v>
      </c>
      <c r="AD29" s="128">
        <f t="shared" si="16"/>
        <v>0</v>
      </c>
      <c r="AE29" s="128">
        <f t="shared" si="16"/>
        <v>0</v>
      </c>
      <c r="AF29" s="128">
        <f t="shared" si="16"/>
        <v>0</v>
      </c>
      <c r="AG29" s="128">
        <f t="shared" si="16"/>
        <v>0</v>
      </c>
      <c r="AH29" s="128">
        <f t="shared" si="16"/>
        <v>0</v>
      </c>
      <c r="AI29" s="128">
        <f t="shared" si="16"/>
        <v>0</v>
      </c>
      <c r="AJ29" s="128">
        <f t="shared" si="16"/>
        <v>0</v>
      </c>
      <c r="AK29" s="128">
        <f t="shared" si="10"/>
        <v>0</v>
      </c>
      <c r="AL29" s="128">
        <f t="shared" si="11"/>
        <v>0</v>
      </c>
      <c r="AM29" s="128">
        <f t="shared" si="12"/>
        <v>0</v>
      </c>
      <c r="AN29" s="126">
        <f t="shared" si="15"/>
        <v>0</v>
      </c>
    </row>
    <row r="30" spans="1:41" ht="20.100000000000001" customHeight="1">
      <c r="A30" s="64">
        <v>6</v>
      </c>
      <c r="B30" s="145" t="s">
        <v>119</v>
      </c>
      <c r="C30" s="1" t="s">
        <v>104</v>
      </c>
      <c r="D30" s="1">
        <v>50</v>
      </c>
      <c r="E30" s="1">
        <v>30.92</v>
      </c>
      <c r="F30" s="1">
        <v>94.74</v>
      </c>
      <c r="G30" s="1">
        <v>7.26</v>
      </c>
      <c r="H30" s="1">
        <v>0</v>
      </c>
      <c r="I30" s="1">
        <v>0</v>
      </c>
      <c r="J30" s="1">
        <v>3.16</v>
      </c>
      <c r="K30" s="1">
        <v>51.77</v>
      </c>
      <c r="L30" s="1">
        <v>23.79</v>
      </c>
      <c r="M30" s="1">
        <v>4.97</v>
      </c>
      <c r="N30" s="103">
        <f t="shared" si="13"/>
        <v>32.549999999999997</v>
      </c>
      <c r="O30" s="1">
        <v>1.1399999999999999</v>
      </c>
      <c r="P30" s="1">
        <v>0.56999999999999995</v>
      </c>
      <c r="Q30" s="2"/>
      <c r="W30" s="133"/>
      <c r="X30" s="126">
        <v>6</v>
      </c>
      <c r="Y30" s="134" t="str">
        <f t="shared" si="14"/>
        <v>Silagem de milho</v>
      </c>
      <c r="Z30" s="128" t="str">
        <f t="shared" si="14"/>
        <v>Forage</v>
      </c>
      <c r="AA30" s="128">
        <f t="shared" si="0"/>
        <v>50</v>
      </c>
      <c r="AB30" s="128">
        <f t="shared" si="1"/>
        <v>30.92</v>
      </c>
      <c r="AC30" s="128">
        <f t="shared" si="2"/>
        <v>94.74</v>
      </c>
      <c r="AD30" s="128">
        <f t="shared" si="3"/>
        <v>7.26</v>
      </c>
      <c r="AE30" s="128">
        <f t="shared" si="4"/>
        <v>0</v>
      </c>
      <c r="AF30" s="128">
        <f t="shared" si="5"/>
        <v>0</v>
      </c>
      <c r="AG30" s="128">
        <f t="shared" si="6"/>
        <v>3.16</v>
      </c>
      <c r="AH30" s="128">
        <f t="shared" si="7"/>
        <v>51.77</v>
      </c>
      <c r="AI30" s="128">
        <f t="shared" si="8"/>
        <v>23.79</v>
      </c>
      <c r="AJ30" s="128">
        <f t="shared" si="9"/>
        <v>4.97</v>
      </c>
      <c r="AK30" s="128">
        <f t="shared" si="10"/>
        <v>32.549999999999997</v>
      </c>
      <c r="AL30" s="128">
        <f t="shared" si="11"/>
        <v>1.1399999999999999</v>
      </c>
      <c r="AM30" s="128">
        <f t="shared" si="12"/>
        <v>0.56999999999999995</v>
      </c>
      <c r="AN30" s="126">
        <f t="shared" si="15"/>
        <v>161.70763260025871</v>
      </c>
    </row>
    <row r="31" spans="1:41" ht="20.100000000000001" customHeight="1">
      <c r="A31" s="64">
        <v>7</v>
      </c>
      <c r="B31" s="145" t="s">
        <v>120</v>
      </c>
      <c r="C31" s="1" t="s">
        <v>40</v>
      </c>
      <c r="D31" s="1">
        <f>86.43*50/100</f>
        <v>43.215000000000003</v>
      </c>
      <c r="E31" s="1">
        <v>87.64</v>
      </c>
      <c r="F31" s="1">
        <v>97.6</v>
      </c>
      <c r="G31" s="1">
        <v>9.11</v>
      </c>
      <c r="H31" s="1">
        <v>0</v>
      </c>
      <c r="I31" s="1">
        <v>0</v>
      </c>
      <c r="J31" s="1">
        <v>4.07</v>
      </c>
      <c r="K31" s="1">
        <v>10.19</v>
      </c>
      <c r="L31" s="1">
        <v>4.18</v>
      </c>
      <c r="M31" s="1">
        <v>1.1599999999999999</v>
      </c>
      <c r="N31" s="103">
        <f t="shared" si="13"/>
        <v>74.23</v>
      </c>
      <c r="O31" s="1">
        <v>0.87</v>
      </c>
      <c r="P31" s="1">
        <v>0.35</v>
      </c>
      <c r="Q31" s="2">
        <v>0</v>
      </c>
      <c r="W31" s="133"/>
      <c r="X31" s="126">
        <v>7</v>
      </c>
      <c r="Y31" s="134" t="str">
        <f t="shared" si="14"/>
        <v>Milho</v>
      </c>
      <c r="Z31" s="128" t="str">
        <f t="shared" si="14"/>
        <v>Concentrate</v>
      </c>
      <c r="AA31" s="128">
        <f t="shared" si="0"/>
        <v>0</v>
      </c>
      <c r="AB31" s="128">
        <f t="shared" si="1"/>
        <v>0</v>
      </c>
      <c r="AC31" s="128">
        <f t="shared" si="2"/>
        <v>0</v>
      </c>
      <c r="AD31" s="128">
        <f t="shared" si="3"/>
        <v>0</v>
      </c>
      <c r="AE31" s="128">
        <f t="shared" si="4"/>
        <v>0</v>
      </c>
      <c r="AF31" s="128">
        <f t="shared" si="5"/>
        <v>0</v>
      </c>
      <c r="AG31" s="128">
        <f t="shared" si="6"/>
        <v>0</v>
      </c>
      <c r="AH31" s="128">
        <f t="shared" si="7"/>
        <v>0</v>
      </c>
      <c r="AI31" s="128">
        <f t="shared" si="8"/>
        <v>0</v>
      </c>
      <c r="AJ31" s="128">
        <f t="shared" si="9"/>
        <v>0</v>
      </c>
      <c r="AK31" s="128">
        <f t="shared" si="10"/>
        <v>0</v>
      </c>
      <c r="AL31" s="128">
        <f t="shared" si="11"/>
        <v>0</v>
      </c>
      <c r="AM31" s="128">
        <f t="shared" si="12"/>
        <v>0</v>
      </c>
      <c r="AN31" s="126">
        <f t="shared" si="15"/>
        <v>0</v>
      </c>
    </row>
    <row r="32" spans="1:41" ht="20.100000000000001" customHeight="1">
      <c r="A32" s="64">
        <v>8</v>
      </c>
      <c r="B32" s="145" t="s">
        <v>121</v>
      </c>
      <c r="C32" s="1" t="s">
        <v>40</v>
      </c>
      <c r="D32" s="1">
        <f>10.07*50/100</f>
        <v>5.0350000000000001</v>
      </c>
      <c r="E32" s="1">
        <v>88.61</v>
      </c>
      <c r="F32" s="1">
        <v>92.85</v>
      </c>
      <c r="G32" s="1">
        <v>48.78</v>
      </c>
      <c r="H32" s="1">
        <v>0</v>
      </c>
      <c r="I32" s="1">
        <v>0</v>
      </c>
      <c r="J32" s="1">
        <v>1.71</v>
      </c>
      <c r="K32" s="1">
        <v>10.72</v>
      </c>
      <c r="L32" s="1">
        <v>3.75</v>
      </c>
      <c r="M32" s="1">
        <v>1.33</v>
      </c>
      <c r="N32" s="103">
        <f t="shared" si="13"/>
        <v>31.64</v>
      </c>
      <c r="O32" s="1">
        <v>2.38</v>
      </c>
      <c r="P32" s="1">
        <v>1.34</v>
      </c>
      <c r="Q32" s="2">
        <v>0</v>
      </c>
      <c r="W32" s="133"/>
      <c r="X32" s="126">
        <v>8</v>
      </c>
      <c r="Y32" s="134" t="str">
        <f t="shared" si="14"/>
        <v>F. Soja</v>
      </c>
      <c r="Z32" s="128" t="str">
        <f t="shared" si="14"/>
        <v>Concentrate</v>
      </c>
      <c r="AA32" s="128">
        <f t="shared" si="0"/>
        <v>0</v>
      </c>
      <c r="AB32" s="128">
        <f t="shared" si="1"/>
        <v>0</v>
      </c>
      <c r="AC32" s="128">
        <f t="shared" si="2"/>
        <v>0</v>
      </c>
      <c r="AD32" s="128">
        <f t="shared" si="3"/>
        <v>0</v>
      </c>
      <c r="AE32" s="128">
        <f t="shared" si="4"/>
        <v>0</v>
      </c>
      <c r="AF32" s="128">
        <f t="shared" si="5"/>
        <v>0</v>
      </c>
      <c r="AG32" s="128">
        <f t="shared" si="6"/>
        <v>0</v>
      </c>
      <c r="AH32" s="128">
        <f t="shared" si="7"/>
        <v>0</v>
      </c>
      <c r="AI32" s="128">
        <f t="shared" si="8"/>
        <v>0</v>
      </c>
      <c r="AJ32" s="128">
        <f t="shared" si="9"/>
        <v>0</v>
      </c>
      <c r="AK32" s="128">
        <f t="shared" si="10"/>
        <v>0</v>
      </c>
      <c r="AL32" s="128">
        <f t="shared" si="11"/>
        <v>0</v>
      </c>
      <c r="AM32" s="128">
        <f t="shared" si="12"/>
        <v>0</v>
      </c>
      <c r="AN32" s="126">
        <f t="shared" si="15"/>
        <v>0</v>
      </c>
    </row>
    <row r="33" spans="1:41" ht="20.100000000000001" customHeight="1">
      <c r="A33" s="64">
        <v>9</v>
      </c>
      <c r="B33" s="119" t="s">
        <v>116</v>
      </c>
      <c r="C33" s="66" t="s">
        <v>40</v>
      </c>
      <c r="D33" s="1">
        <f>1.5*50/100</f>
        <v>0.75</v>
      </c>
      <c r="E33" s="1">
        <v>100</v>
      </c>
      <c r="F33" s="1">
        <v>100</v>
      </c>
      <c r="G33" s="1">
        <v>260</v>
      </c>
      <c r="H33" s="1">
        <v>100</v>
      </c>
      <c r="I33" s="123">
        <v>260</v>
      </c>
      <c r="J33" s="124" t="s">
        <v>118</v>
      </c>
      <c r="K33" s="124" t="s">
        <v>118</v>
      </c>
      <c r="L33" s="124" t="s">
        <v>118</v>
      </c>
      <c r="M33" s="124" t="s">
        <v>118</v>
      </c>
      <c r="N33" s="124" t="s">
        <v>118</v>
      </c>
      <c r="O33" s="124" t="s">
        <v>118</v>
      </c>
      <c r="P33" s="124" t="s">
        <v>118</v>
      </c>
      <c r="Q33" s="124" t="s">
        <v>118</v>
      </c>
      <c r="W33" s="133"/>
      <c r="X33" s="126">
        <v>9</v>
      </c>
      <c r="Y33" s="134" t="str">
        <f t="shared" si="14"/>
        <v>Urea/AS</v>
      </c>
      <c r="Z33" s="128" t="str">
        <f t="shared" si="14"/>
        <v>Concentrate</v>
      </c>
      <c r="AA33" s="128">
        <f t="shared" ref="AA33:AF34" si="17">IF($C33="Forage",D33,0)</f>
        <v>0</v>
      </c>
      <c r="AB33" s="128">
        <f t="shared" si="17"/>
        <v>0</v>
      </c>
      <c r="AC33" s="128">
        <f t="shared" si="17"/>
        <v>0</v>
      </c>
      <c r="AD33" s="128">
        <f t="shared" si="17"/>
        <v>0</v>
      </c>
      <c r="AE33" s="128">
        <f t="shared" si="17"/>
        <v>0</v>
      </c>
      <c r="AF33" s="128">
        <f t="shared" si="17"/>
        <v>0</v>
      </c>
      <c r="AG33" s="128">
        <f t="shared" ref="AG33:AM34" si="18">IF($C33="Forage",J39,0)</f>
        <v>0</v>
      </c>
      <c r="AH33" s="128">
        <f t="shared" si="18"/>
        <v>0</v>
      </c>
      <c r="AI33" s="128">
        <f t="shared" si="18"/>
        <v>0</v>
      </c>
      <c r="AJ33" s="128">
        <f t="shared" si="18"/>
        <v>0</v>
      </c>
      <c r="AK33" s="128">
        <f t="shared" si="18"/>
        <v>0</v>
      </c>
      <c r="AL33" s="128">
        <f t="shared" si="18"/>
        <v>0</v>
      </c>
      <c r="AM33" s="128">
        <f t="shared" si="18"/>
        <v>0</v>
      </c>
      <c r="AN33" s="126">
        <f t="shared" si="15"/>
        <v>0</v>
      </c>
    </row>
    <row r="34" spans="1:41" ht="20.100000000000001" customHeight="1">
      <c r="A34" s="64">
        <v>10</v>
      </c>
      <c r="B34" s="119" t="s">
        <v>117</v>
      </c>
      <c r="C34" s="10" t="s">
        <v>40</v>
      </c>
      <c r="D34" s="1">
        <f>2*50/100</f>
        <v>1</v>
      </c>
      <c r="E34" s="1">
        <v>100</v>
      </c>
      <c r="F34" s="124" t="s">
        <v>118</v>
      </c>
      <c r="G34" s="124" t="s">
        <v>118</v>
      </c>
      <c r="H34" s="124" t="s">
        <v>118</v>
      </c>
      <c r="I34" s="124" t="s">
        <v>118</v>
      </c>
      <c r="J34" s="124" t="s">
        <v>118</v>
      </c>
      <c r="K34" s="124" t="s">
        <v>118</v>
      </c>
      <c r="L34" s="124" t="s">
        <v>118</v>
      </c>
      <c r="M34" s="124" t="s">
        <v>118</v>
      </c>
      <c r="N34" s="124" t="s">
        <v>118</v>
      </c>
      <c r="O34" s="124" t="s">
        <v>118</v>
      </c>
      <c r="P34" s="124" t="s">
        <v>118</v>
      </c>
      <c r="Q34" s="124" t="s">
        <v>118</v>
      </c>
      <c r="W34" s="133"/>
      <c r="X34" s="126">
        <v>10</v>
      </c>
      <c r="Y34" s="134" t="str">
        <f t="shared" si="14"/>
        <v>Mineral mixture</v>
      </c>
      <c r="Z34" s="128" t="str">
        <f t="shared" si="14"/>
        <v>Concentrate</v>
      </c>
      <c r="AA34" s="128">
        <f t="shared" si="17"/>
        <v>0</v>
      </c>
      <c r="AB34" s="128">
        <f>IF($C34="Forage",E34,0)</f>
        <v>0</v>
      </c>
      <c r="AC34" s="128">
        <f>IF($C34="Forage",F40,0)</f>
        <v>0</v>
      </c>
      <c r="AD34" s="128">
        <f>IF($C34="Forage",G40,0)</f>
        <v>0</v>
      </c>
      <c r="AE34" s="128">
        <f>IF($C34="Forage",H40,0)</f>
        <v>0</v>
      </c>
      <c r="AF34" s="128">
        <f>IF($C34="Forage",I40,0)</f>
        <v>0</v>
      </c>
      <c r="AG34" s="128">
        <f t="shared" si="18"/>
        <v>0</v>
      </c>
      <c r="AH34" s="128">
        <f t="shared" si="18"/>
        <v>0</v>
      </c>
      <c r="AI34" s="128">
        <f t="shared" si="18"/>
        <v>0</v>
      </c>
      <c r="AJ34" s="128">
        <f t="shared" si="18"/>
        <v>0</v>
      </c>
      <c r="AK34" s="128">
        <f t="shared" si="18"/>
        <v>0</v>
      </c>
      <c r="AL34" s="128">
        <f t="shared" si="18"/>
        <v>0</v>
      </c>
      <c r="AM34" s="128">
        <f t="shared" si="18"/>
        <v>0</v>
      </c>
      <c r="AN34" s="126">
        <f t="shared" si="15"/>
        <v>0</v>
      </c>
    </row>
    <row r="35" spans="1:41" ht="20.100000000000001" customHeight="1">
      <c r="B35" s="37"/>
      <c r="C35" s="38" t="s">
        <v>85</v>
      </c>
      <c r="D35" s="39">
        <f>SUM(D25:D34)</f>
        <v>100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121"/>
      <c r="P35" s="122"/>
      <c r="U35" s="24"/>
      <c r="V35" s="133"/>
      <c r="W35" s="133"/>
      <c r="X35" s="133"/>
      <c r="Y35" s="133"/>
      <c r="Z35" s="135" t="s">
        <v>106</v>
      </c>
      <c r="AA35" s="133">
        <f>SUM(AA25:AA34)</f>
        <v>50</v>
      </c>
      <c r="AB35" s="133"/>
      <c r="AC35" s="136">
        <f>($AA$25/$AA$35*AC25)+($AA$26/$AA$35*AC26)+($AA$27/$AA$35*AC27)+($AA$28/$AA$35*AC28)+($AA$29/$AA$35*AC29)+($AA$30/$AA$35*AC30)+($AA$31/$AA$35*AC31)+($AA$32/$AA$35*AC32)+($AA$33/$AA$35*AC33)+($AA$34/$AA$35*AC34)</f>
        <v>94.74</v>
      </c>
      <c r="AD35" s="133">
        <f t="shared" ref="AD35:AM35" si="19">($AA$25/$AA$35*AD25)+($AA$26/$AA$35*AD26)+($AA$27/$AA$35*AD27)+($AA$28/$AA$35*AD28)+($AA$29/$AA$35*AD29)+($AA$30/$AA$35*AD30)+($AA$31/$AA$35*AD31)+($AA$32/$AA$35*AD32)+($AA$33/$AA$35*AD33)+($AA$34/$AA$35*AD34)</f>
        <v>7.26</v>
      </c>
      <c r="AE35" s="133">
        <f t="shared" si="19"/>
        <v>0</v>
      </c>
      <c r="AF35" s="133">
        <f t="shared" si="19"/>
        <v>0</v>
      </c>
      <c r="AG35" s="133">
        <f t="shared" si="19"/>
        <v>3.16</v>
      </c>
      <c r="AH35" s="133">
        <f t="shared" si="19"/>
        <v>51.77</v>
      </c>
      <c r="AI35" s="133">
        <f t="shared" si="19"/>
        <v>23.79</v>
      </c>
      <c r="AJ35" s="133">
        <f t="shared" si="19"/>
        <v>4.97</v>
      </c>
      <c r="AK35" s="133">
        <f t="shared" si="19"/>
        <v>32.549999999999997</v>
      </c>
      <c r="AL35" s="133">
        <f t="shared" si="19"/>
        <v>1.1399999999999999</v>
      </c>
      <c r="AM35" s="133">
        <f t="shared" si="19"/>
        <v>0.56999999999999995</v>
      </c>
      <c r="AN35" s="137">
        <f>SUM(AN25:AN34)</f>
        <v>161.70763260025871</v>
      </c>
      <c r="AO35" s="150"/>
    </row>
    <row r="36" spans="1:41" ht="20.100000000000001" customHeight="1">
      <c r="C36" s="42" t="s">
        <v>107</v>
      </c>
      <c r="D36" s="43">
        <f>AA35</f>
        <v>50</v>
      </c>
      <c r="E36" s="43">
        <f>IFERROR(AA35/AN35*100,0)</f>
        <v>30.92</v>
      </c>
      <c r="F36" s="43">
        <f t="shared" ref="F36:P36" si="20">IFERROR(AC35,0)</f>
        <v>94.74</v>
      </c>
      <c r="G36" s="43">
        <f t="shared" si="20"/>
        <v>7.26</v>
      </c>
      <c r="H36" s="43">
        <f t="shared" si="20"/>
        <v>0</v>
      </c>
      <c r="I36" s="43">
        <f t="shared" si="20"/>
        <v>0</v>
      </c>
      <c r="J36" s="43">
        <f t="shared" si="20"/>
        <v>3.16</v>
      </c>
      <c r="K36" s="43">
        <f t="shared" si="20"/>
        <v>51.77</v>
      </c>
      <c r="L36" s="43">
        <f t="shared" si="20"/>
        <v>23.79</v>
      </c>
      <c r="M36" s="43">
        <f t="shared" si="20"/>
        <v>4.97</v>
      </c>
      <c r="N36" s="43">
        <f t="shared" si="20"/>
        <v>32.549999999999997</v>
      </c>
      <c r="O36" s="43">
        <f t="shared" si="20"/>
        <v>1.1399999999999999</v>
      </c>
      <c r="P36" s="43">
        <f t="shared" si="20"/>
        <v>0.56999999999999995</v>
      </c>
      <c r="S36" s="44"/>
      <c r="T36" s="24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7"/>
      <c r="AO36" s="150"/>
    </row>
    <row r="37" spans="1:41" ht="20.100000000000001" customHeight="1">
      <c r="C37" s="45" t="s">
        <v>41</v>
      </c>
      <c r="D37" s="46">
        <f>AA66</f>
        <v>50</v>
      </c>
      <c r="E37" s="47">
        <f>IFERROR(AA66/AN66*100,0)</f>
        <v>88.118336942135429</v>
      </c>
      <c r="F37" s="47">
        <f t="shared" ref="F37:P37" si="21">IFERROR(AC66,0)</f>
        <v>95.205675000000014</v>
      </c>
      <c r="G37" s="47">
        <f t="shared" si="21"/>
        <v>16.685918999999998</v>
      </c>
      <c r="H37" s="47">
        <f t="shared" si="21"/>
        <v>1.5</v>
      </c>
      <c r="I37" s="47">
        <f t="shared" si="21"/>
        <v>3.9</v>
      </c>
      <c r="J37" s="47">
        <f t="shared" si="21"/>
        <v>3.6898980000000008</v>
      </c>
      <c r="K37" s="47">
        <f t="shared" si="21"/>
        <v>9.8867209999999996</v>
      </c>
      <c r="L37" s="47">
        <f t="shared" si="21"/>
        <v>3.990399</v>
      </c>
      <c r="M37" s="47">
        <f t="shared" si="21"/>
        <v>1.1365190000000001</v>
      </c>
      <c r="N37" s="47">
        <f t="shared" si="21"/>
        <v>67.343137000000013</v>
      </c>
      <c r="O37" s="47">
        <f t="shared" si="21"/>
        <v>0.99160700000000013</v>
      </c>
      <c r="P37" s="47">
        <f t="shared" si="21"/>
        <v>0.43744300000000003</v>
      </c>
      <c r="U37" s="24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8"/>
      <c r="AG37" s="138"/>
      <c r="AH37" s="138"/>
      <c r="AI37" s="133"/>
      <c r="AJ37" s="133"/>
      <c r="AK37" s="133"/>
      <c r="AL37" s="133"/>
      <c r="AM37" s="133"/>
      <c r="AN37" s="137"/>
      <c r="AO37" s="150"/>
    </row>
    <row r="38" spans="1:41" ht="20.100000000000001" customHeight="1">
      <c r="C38" s="45" t="s">
        <v>84</v>
      </c>
      <c r="D38" s="47">
        <f>AA35+AA66</f>
        <v>100</v>
      </c>
      <c r="E38" s="47">
        <f>IFERROR(D35/AN38*100,0)</f>
        <v>45.777168066036843</v>
      </c>
      <c r="F38" s="47">
        <f>($D$25*(F25/100))+($D$26*(F26/100))+($D$27*(F27/100))+($D$28*(F28/100))+($D$29*(F29/100))+($D$30*(F30/100))+($D$31*(F31/100))+($D$32*(F32/100))+($D$33*(F33/100))+($D$34*(F40/100))</f>
        <v>94.972837500000011</v>
      </c>
      <c r="G38" s="47">
        <f>($D$25*(G25/100))+($D$26*(G26/100))+($D$27*(G27/100))+($D$28*(G28/100))+($D$29*(G29/100))+($D$30*(G30/100))+($D$31*(G31/100))+($D$32*(G32/100))+($D$33*(G33/100))+($D$34*(G40/100))</f>
        <v>11.972959500000002</v>
      </c>
      <c r="H38" s="47">
        <f>($D$25*(H25/100))+($D$26*(H26/100))+($D$27*(H27/100))+($D$28*(H28/100))+($D$29*(H29/100))+($D$30*(H30/100))+($D$31*(H31/100))+($D$32*(H32/100))+($D$33*(H33/100))+($D$34*(H40/100))</f>
        <v>0.75</v>
      </c>
      <c r="I38" s="47">
        <f>($D$25*(I25/100))+($D$26*(I26/100))+($D$27*(I27/100))+($D$28*(I28/100))+($D$29*(I29/100))+($D$30*(I30/100))+($D$31*(I31/100))+($D$32*(I32/100))+($D$33*(I33/100))+($D$34*(I40/100))</f>
        <v>1.9500000000000002</v>
      </c>
      <c r="J38" s="47">
        <f t="shared" ref="J38:P38" si="22">($D$25*(J25/100))+($D$26*(J26/100))+($D$27*(J27/100))+($D$28*(J28/100))+($D$29*(J29/100))+($D$30*(J30/100))+($D$31*(J31/100))+($D$32*(J32/100))+($D$33*(J39/100))+($D$34*(J40/100))</f>
        <v>3.4249490000000002</v>
      </c>
      <c r="K38" s="47">
        <f t="shared" si="22"/>
        <v>30.828360500000002</v>
      </c>
      <c r="L38" s="47">
        <f t="shared" si="22"/>
        <v>13.8901995</v>
      </c>
      <c r="M38" s="47">
        <f t="shared" si="22"/>
        <v>3.0532595000000002</v>
      </c>
      <c r="N38" s="47">
        <f t="shared" si="22"/>
        <v>49.946568500000005</v>
      </c>
      <c r="O38" s="47">
        <f t="shared" si="22"/>
        <v>1.0658034999999999</v>
      </c>
      <c r="P38" s="47">
        <f t="shared" si="22"/>
        <v>0.50372149999999993</v>
      </c>
      <c r="Q38" s="44"/>
      <c r="R38" s="44"/>
      <c r="S38" s="44"/>
      <c r="U38" s="24"/>
      <c r="V38" s="133"/>
      <c r="W38" s="133"/>
      <c r="X38" s="133"/>
      <c r="Y38" s="133"/>
      <c r="Z38" s="133"/>
      <c r="AA38" s="133"/>
      <c r="AB38" s="133"/>
      <c r="AC38" s="139" t="s">
        <v>55</v>
      </c>
      <c r="AD38" s="139" t="s">
        <v>56</v>
      </c>
      <c r="AE38" s="126" t="s">
        <v>7</v>
      </c>
      <c r="AF38" s="138"/>
      <c r="AG38" s="138"/>
      <c r="AH38" s="131" t="s">
        <v>8</v>
      </c>
      <c r="AI38" s="133"/>
      <c r="AJ38" s="133"/>
      <c r="AL38" s="133"/>
      <c r="AM38" s="140" t="s">
        <v>84</v>
      </c>
      <c r="AN38" s="141">
        <f>AN35+AN66</f>
        <v>218.4495114589501</v>
      </c>
      <c r="AO38" s="150"/>
    </row>
    <row r="39" spans="1:41" ht="12.95" customHeight="1">
      <c r="D39" s="49"/>
      <c r="E39" s="148"/>
      <c r="F39" s="126"/>
      <c r="G39" s="126"/>
      <c r="H39" s="126"/>
      <c r="I39" s="126"/>
      <c r="J39" s="128">
        <v>0</v>
      </c>
      <c r="K39" s="128">
        <v>0</v>
      </c>
      <c r="L39" s="128">
        <v>0</v>
      </c>
      <c r="M39" s="128">
        <v>0</v>
      </c>
      <c r="N39" s="127">
        <f>F33-J39-K39-(G33-I33+H33)</f>
        <v>0</v>
      </c>
      <c r="O39" s="128">
        <v>0</v>
      </c>
      <c r="P39" s="128">
        <v>0</v>
      </c>
      <c r="Q39" s="128">
        <v>0</v>
      </c>
      <c r="U39" s="24"/>
      <c r="V39" s="133"/>
      <c r="W39" s="133"/>
      <c r="X39" s="133"/>
      <c r="Y39" s="133"/>
      <c r="Z39" s="133"/>
      <c r="AA39" s="133"/>
      <c r="AB39" s="126">
        <v>1</v>
      </c>
      <c r="AC39" s="142">
        <f>IF(AH25&gt;0,3.38+0.883*AH25-0.834*AI25+0.0065*(AI25^2)-0.197*AJ25,0)</f>
        <v>0</v>
      </c>
      <c r="AD39" s="143">
        <f>IF(AH25&gt;0,AH25-AC39,0)</f>
        <v>0</v>
      </c>
      <c r="AE39" s="138">
        <f>IF(AD39&gt;0,0.287/AD39,0)</f>
        <v>0</v>
      </c>
      <c r="AF39" s="138"/>
      <c r="AG39" s="138"/>
      <c r="AH39" s="136">
        <f>IF(Z25="Forage",(80.21*#REF!)-(0.0166*($C$21^2))+(2.658*#REF!)+(3.691*$G$38)+(0.0507*($C$21*#REF!))-(2.9673*(#REF!*#REF!))-(3.999*(#REF!*$G$38)),0)</f>
        <v>0</v>
      </c>
      <c r="AI39" s="133"/>
      <c r="AJ39" s="133"/>
      <c r="AL39" s="133"/>
      <c r="AM39" s="133"/>
      <c r="AN39" s="137"/>
      <c r="AO39" s="150"/>
    </row>
    <row r="40" spans="1:41" ht="20.100000000000001" customHeight="1">
      <c r="D40" s="49"/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7">
        <f>F40-J40-K40-(G40-I40+H40)</f>
        <v>0</v>
      </c>
      <c r="O40" s="128">
        <v>0</v>
      </c>
      <c r="P40" s="128">
        <v>0</v>
      </c>
      <c r="Q40" s="128">
        <v>0</v>
      </c>
      <c r="U40" s="24"/>
      <c r="V40" s="133"/>
      <c r="W40" s="133"/>
      <c r="AB40" s="126">
        <v>2</v>
      </c>
      <c r="AC40" s="142">
        <f>IF(AH26&gt;0,3.38+0.883*AH26-0.834*AI26+0.0065*(AI26^2)-0.197*AJ26,0)</f>
        <v>0</v>
      </c>
      <c r="AD40" s="143">
        <f t="shared" ref="AD40:AD48" si="23">IF(AH26&gt;0,AH26-AC40,0)</f>
        <v>0</v>
      </c>
      <c r="AE40" s="138">
        <f t="shared" ref="AE40:AE48" si="24">IF(AD40&gt;0,0.287/AD40,0)</f>
        <v>0</v>
      </c>
      <c r="AH40" s="136">
        <f>IF(Z26="Forage",(80.21*#REF!)-(0.0166*($C$21^2))+(2.658*#REF!)+(3.691*$G$38)+(0.0507*($C$21*#REF!))-(2.9673*(#REF!*#REF!))-(3.999*(#REF!*$G$38)),0)</f>
        <v>0</v>
      </c>
      <c r="AO40" s="150"/>
    </row>
    <row r="41" spans="1:41" ht="26.25" thickBot="1">
      <c r="B41" s="50" t="s">
        <v>111</v>
      </c>
      <c r="C41" s="51"/>
      <c r="D41" s="51"/>
      <c r="E41" s="51"/>
      <c r="F41" s="51"/>
      <c r="G41" s="51"/>
      <c r="H41" s="51"/>
      <c r="I41" s="51"/>
      <c r="J41" s="51"/>
      <c r="K41" s="51"/>
      <c r="Q41" s="52" t="s">
        <v>103</v>
      </c>
      <c r="AB41" s="126">
        <v>3</v>
      </c>
      <c r="AC41" s="142">
        <f t="shared" ref="AC41:AC48" si="25">IF(AH27&gt;0,3.38+0.883*AH27-0.834*AI27+0.0065*(AI27^2)-0.197*AJ27,0)</f>
        <v>0</v>
      </c>
      <c r="AD41" s="143">
        <f t="shared" si="23"/>
        <v>0</v>
      </c>
      <c r="AE41" s="138">
        <f t="shared" si="24"/>
        <v>0</v>
      </c>
      <c r="AH41" s="136">
        <f>IF(Z27="Forage",(80.21*#REF!)-(0.0166*($C$21^2))+(2.658*#REF!)+(3.691*$G$38)+(0.0507*($C$21*#REF!))-(2.9673*(#REF!*#REF!))-(3.999*(#REF!*$G$38)),0)</f>
        <v>0</v>
      </c>
    </row>
    <row r="42" spans="1:41" ht="20.100000000000001" customHeight="1">
      <c r="B42" s="53" t="s">
        <v>38</v>
      </c>
      <c r="C42" s="21" t="s">
        <v>73</v>
      </c>
      <c r="D42" s="21" t="s">
        <v>74</v>
      </c>
      <c r="E42" s="21" t="s">
        <v>113</v>
      </c>
      <c r="F42" s="21" t="s">
        <v>76</v>
      </c>
      <c r="G42" s="21" t="s">
        <v>77</v>
      </c>
      <c r="H42" s="21" t="s">
        <v>75</v>
      </c>
      <c r="I42" s="21" t="s">
        <v>78</v>
      </c>
      <c r="J42" s="21" t="s">
        <v>79</v>
      </c>
      <c r="K42" s="21" t="s">
        <v>81</v>
      </c>
      <c r="Q42" s="54" t="s">
        <v>91</v>
      </c>
      <c r="R42" s="55"/>
      <c r="S42" s="56"/>
      <c r="AB42" s="126">
        <v>4</v>
      </c>
      <c r="AC42" s="142">
        <f t="shared" si="25"/>
        <v>0</v>
      </c>
      <c r="AD42" s="143">
        <f t="shared" si="23"/>
        <v>0</v>
      </c>
      <c r="AE42" s="138">
        <f t="shared" si="24"/>
        <v>0</v>
      </c>
      <c r="AH42" s="136">
        <f>IF(Z28="Forage",(80.21*#REF!)-(0.0166*($C$21^2))+(2.658*#REF!)+(3.691*$G$38)+(0.0507*($C$21*#REF!))-(2.9673*(#REF!*#REF!))-(3.999*(#REF!*$G$38)),0)</f>
        <v>0</v>
      </c>
    </row>
    <row r="43" spans="1:41" ht="20.100000000000001" customHeight="1">
      <c r="A43" s="64">
        <v>1</v>
      </c>
      <c r="B43" s="57" t="str">
        <f t="shared" ref="B43:B52" si="26">IF(B25=0,"",B25)</f>
        <v/>
      </c>
      <c r="C43" s="58" t="str">
        <f t="shared" ref="C43:C50" si="27">IF(D25&gt;0,0.86*J25,"")</f>
        <v/>
      </c>
      <c r="D43" s="58" t="str">
        <f t="shared" ref="D43:D50" si="28">IF(D25&gt;0,0.95*N25,"")</f>
        <v/>
      </c>
      <c r="E43" s="58" t="str">
        <f t="shared" ref="E43:E50" si="29">IF(D25&gt;0,IF(K25&gt;0,IF(C25="Forage",3.38+0.883*K25-0.834*L25+0.0065*(L25^2)-0.197*M25,-1.19-10.16*Q25+1.012*K25-0.052*L25),"0"),"")</f>
        <v/>
      </c>
      <c r="F43" s="58" t="str">
        <f t="shared" ref="F43:F50" si="30">IF(D25&gt;0,IF(K25&gt;0,K25-E43,"0"),"")</f>
        <v/>
      </c>
      <c r="G43" s="58" t="str">
        <f t="shared" ref="G43:G48" si="31">IF(D25&gt;0,IF(K25&gt;0,IF(C25="Forage",(($G$62/($G$62+H62))*31.95)*1.12,(($G$62/($G$62+H62))*8.64)*1.12),0),"")</f>
        <v/>
      </c>
      <c r="H43" s="58" t="str">
        <f t="shared" ref="H43:H50" si="32">IF(D25&gt;0,IF(G25&gt;0,IF(C25="Forage",$U$25*(G25-O25)+($G$62/($G$62+H62))*(1.14*(1-EXP(-(0.8188+1.1676*0.57)))),$U$25*(G25-O25)+($G$62/($G$62+H62))*(0.99*(1-EXP(-(0.8188+1.1676*0.44))))),0),"")</f>
        <v/>
      </c>
      <c r="I43" s="58" t="str">
        <f>IF(D25&gt;0,IF(F62=0,0,IF(I62&gt;0,I62,0)),"")</f>
        <v/>
      </c>
      <c r="J43" s="58" t="str">
        <f>IF(J62&gt;0,J62,0)</f>
        <v/>
      </c>
      <c r="K43" s="58" t="str">
        <f>IF(K62&gt;0,K62,0)</f>
        <v/>
      </c>
      <c r="Q43" s="59" t="s">
        <v>99</v>
      </c>
      <c r="R43" s="33"/>
      <c r="S43" s="60"/>
      <c r="AB43" s="126">
        <v>5</v>
      </c>
      <c r="AC43" s="142">
        <f t="shared" si="25"/>
        <v>0</v>
      </c>
      <c r="AD43" s="143">
        <f t="shared" si="23"/>
        <v>0</v>
      </c>
      <c r="AE43" s="138">
        <f t="shared" si="24"/>
        <v>0</v>
      </c>
      <c r="AH43" s="136">
        <f>IF(Z29="Forage",(80.21*#REF!)-(0.0166*($C$21^2))+(2.658*#REF!)+(3.691*$G$38)+(0.0507*($C$21*#REF!))-(2.9673*(#REF!*#REF!))-(3.999*(#REF!*$G$38)),0)</f>
        <v>0</v>
      </c>
      <c r="AO43" s="149"/>
    </row>
    <row r="44" spans="1:41" ht="20.100000000000001" customHeight="1">
      <c r="A44" s="64">
        <v>2</v>
      </c>
      <c r="B44" s="61" t="str">
        <f t="shared" si="26"/>
        <v/>
      </c>
      <c r="C44" s="62" t="str">
        <f t="shared" si="27"/>
        <v/>
      </c>
      <c r="D44" s="62" t="str">
        <f t="shared" si="28"/>
        <v/>
      </c>
      <c r="E44" s="62" t="str">
        <f t="shared" si="29"/>
        <v/>
      </c>
      <c r="F44" s="62" t="str">
        <f t="shared" si="30"/>
        <v/>
      </c>
      <c r="G44" s="62" t="str">
        <f t="shared" si="31"/>
        <v/>
      </c>
      <c r="H44" s="62" t="str">
        <f t="shared" si="32"/>
        <v/>
      </c>
      <c r="I44" s="62" t="str">
        <f>IF(D26&gt;0,IF(F63=0,0,IF(I63&gt;0,I63,0)),"")</f>
        <v/>
      </c>
      <c r="J44" s="62" t="str">
        <f>IF(J63&gt;0,J63,0)</f>
        <v/>
      </c>
      <c r="K44" s="62" t="str">
        <f>IF(K63&gt;0,K63,0)</f>
        <v/>
      </c>
      <c r="L44" s="63"/>
      <c r="N44" s="15"/>
      <c r="O44" s="15"/>
      <c r="P44" s="15"/>
      <c r="Q44" s="59" t="s">
        <v>97</v>
      </c>
      <c r="R44" s="33"/>
      <c r="S44" s="60"/>
      <c r="AB44" s="126">
        <v>6</v>
      </c>
      <c r="AC44" s="142">
        <f t="shared" si="25"/>
        <v>31.951726650000005</v>
      </c>
      <c r="AD44" s="143">
        <f t="shared" si="23"/>
        <v>19.818273349999998</v>
      </c>
      <c r="AE44" s="138">
        <f t="shared" si="24"/>
        <v>1.4481584491819516E-2</v>
      </c>
      <c r="AH44" s="136" t="e">
        <f>IF(Z30="Forage",(80.21*#REF!)-(0.0166*($C$21^2))+(2.658*#REF!)+(3.691*$G$38)+(0.0507*($C$21*#REF!))-(2.9673*(#REF!*#REF!))-(3.999*(#REF!*$G$38)),0)</f>
        <v>#REF!</v>
      </c>
      <c r="AO44" s="149"/>
    </row>
    <row r="45" spans="1:41" ht="20.100000000000001" customHeight="1">
      <c r="A45" s="64">
        <v>3</v>
      </c>
      <c r="B45" s="57" t="str">
        <f t="shared" si="26"/>
        <v/>
      </c>
      <c r="C45" s="58" t="str">
        <f t="shared" si="27"/>
        <v/>
      </c>
      <c r="D45" s="58" t="str">
        <f t="shared" si="28"/>
        <v/>
      </c>
      <c r="E45" s="58" t="str">
        <f t="shared" si="29"/>
        <v/>
      </c>
      <c r="F45" s="58" t="str">
        <f t="shared" si="30"/>
        <v/>
      </c>
      <c r="G45" s="58" t="str">
        <f t="shared" si="31"/>
        <v/>
      </c>
      <c r="H45" s="58" t="str">
        <f t="shared" si="32"/>
        <v/>
      </c>
      <c r="I45" s="58" t="str">
        <f t="shared" ref="I45:I50" si="33">IF(D27&gt;0,IF(F64=0,0,IF(I64&gt;0,I64,0)),"")</f>
        <v/>
      </c>
      <c r="J45" s="58" t="str">
        <f t="shared" ref="J45:K50" si="34">IF(J64&gt;0,J64,0)</f>
        <v/>
      </c>
      <c r="K45" s="58" t="str">
        <f t="shared" si="34"/>
        <v/>
      </c>
      <c r="N45" s="15"/>
      <c r="P45" s="15"/>
      <c r="Q45" s="59" t="s">
        <v>98</v>
      </c>
      <c r="R45" s="33"/>
      <c r="S45" s="60"/>
      <c r="AB45" s="126">
        <v>7</v>
      </c>
      <c r="AC45" s="142">
        <f t="shared" si="25"/>
        <v>0</v>
      </c>
      <c r="AD45" s="143">
        <f t="shared" si="23"/>
        <v>0</v>
      </c>
      <c r="AE45" s="138">
        <f t="shared" si="24"/>
        <v>0</v>
      </c>
      <c r="AH45" s="136">
        <f>IF(Z31="Forage",(80.21*#REF!)-(0.0166*($C$21^2))+(2.658*#REF!)+(3.691*$G$38)+(0.0507*($C$21*#REF!))-(2.9673*(#REF!*#REF!))-(3.999*(#REF!*$G$38)),0)</f>
        <v>0</v>
      </c>
      <c r="AO45" s="149"/>
    </row>
    <row r="46" spans="1:41" ht="20.100000000000001" customHeight="1">
      <c r="A46" s="64">
        <v>4</v>
      </c>
      <c r="B46" s="61" t="str">
        <f t="shared" si="26"/>
        <v/>
      </c>
      <c r="C46" s="62" t="str">
        <f>IF(D28&gt;0,0.86*J28,"")</f>
        <v/>
      </c>
      <c r="D46" s="62" t="str">
        <f>IF(D28&gt;0,0.95*N28,"")</f>
        <v/>
      </c>
      <c r="E46" s="62" t="str">
        <f>IF(D28&gt;0,IF(K28&gt;0,IF(C28="Forage",3.38+0.883*K28-0.834*L28+0.0065*(L28^2)-0.197*M28,-1.19-10.16*Q28+1.012*K28-0.052*L28),"0"),"")</f>
        <v/>
      </c>
      <c r="F46" s="62" t="str">
        <f>IF(D28&gt;0,IF(K28&gt;0,K28-E46,"0"),"")</f>
        <v/>
      </c>
      <c r="G46" s="62" t="str">
        <f>IF(D28&gt;0,IF(K28&gt;0,IF(C28="Forage",(($G$62/($G$62+H65))*31.95)*1.12,(($G$62/($G$62+H65))*8.64)*1.12),0),"")</f>
        <v/>
      </c>
      <c r="H46" s="62" t="str">
        <f>IF(D28&gt;0,IF(G28&gt;0,IF(C28="Forage",$U$25*(G28-O28)+($G$62/($G$62+H65))*(1.14*(1-EXP(-(0.8188+1.1676*0.57)))),$U$25*(G28-O28)+($G$62/($G$62+H65))*(0.99*(1-EXP(-(0.8188+1.1676*0.44))))),0),"")</f>
        <v/>
      </c>
      <c r="I46" s="62" t="str">
        <f>IF(D28&gt;0,IF(F65=0,0,IF(I65&gt;0,I65,0)),"")</f>
        <v/>
      </c>
      <c r="J46" s="62" t="str">
        <f t="shared" si="34"/>
        <v/>
      </c>
      <c r="K46" s="62" t="str">
        <f t="shared" si="34"/>
        <v/>
      </c>
      <c r="N46" s="15"/>
      <c r="P46" s="15"/>
      <c r="Q46" s="59" t="s">
        <v>88</v>
      </c>
      <c r="R46" s="33"/>
      <c r="S46" s="60"/>
      <c r="AB46" s="126">
        <v>8</v>
      </c>
      <c r="AC46" s="142">
        <f t="shared" si="25"/>
        <v>0</v>
      </c>
      <c r="AD46" s="143">
        <f t="shared" si="23"/>
        <v>0</v>
      </c>
      <c r="AE46" s="138">
        <f t="shared" si="24"/>
        <v>0</v>
      </c>
      <c r="AH46" s="136">
        <f>IF(Z32="Forage",(80.21*#REF!)-(0.0166*($C$21^2))+(2.658*#REF!)+(3.691*$G$38)+(0.0507*($C$21*#REF!))-(2.9673*(#REF!*#REF!))-(3.999*(#REF!*$G$38)),0)</f>
        <v>0</v>
      </c>
      <c r="AO46" s="149"/>
    </row>
    <row r="47" spans="1:41" ht="20.100000000000001" customHeight="1">
      <c r="A47" s="64">
        <v>5</v>
      </c>
      <c r="B47" s="57" t="str">
        <f t="shared" si="26"/>
        <v/>
      </c>
      <c r="C47" s="58" t="str">
        <f>IF(D29&gt;0,0.86*J29,"")</f>
        <v/>
      </c>
      <c r="D47" s="58" t="str">
        <f>IF(D29&gt;0,0.95*N29,"")</f>
        <v/>
      </c>
      <c r="E47" s="58" t="str">
        <f>IF(D29&gt;0,IF(K29&gt;0,IF(C29="Forage",3.38+0.883*K29-0.834*L29+0.0065*(L29^2)-0.197*M29,-1.19-10.16*Q29+1.012*K29-0.052*L29),"0"),"")</f>
        <v/>
      </c>
      <c r="F47" s="58" t="str">
        <f>IF(D29&gt;0,IF(K29&gt;0,K29-E47,"0"),"")</f>
        <v/>
      </c>
      <c r="G47" s="58" t="str">
        <f>IF(D29&gt;0,IF(K29&gt;0,IF(C29="Forage",(($G$62/($G$62+H66))*31.95)*1.12,(($G$62/($G$62+H66))*8.64)*1.12),0),"")</f>
        <v/>
      </c>
      <c r="H47" s="58" t="str">
        <f>IF(D29&gt;0,IF(G29&gt;0,IF(C29="Forage",$U$25*(G29-O29)+($G$62/($G$62+H66))*(1.14*(1-EXP(-(0.8188+1.1676*0.57)))),$U$25*(G29-O29)+($G$62/($G$62+H66))*(0.99*(1-EXP(-(0.8188+1.1676*0.44))))),0),"")</f>
        <v/>
      </c>
      <c r="I47" s="58" t="str">
        <f>IF(D29&gt;0,IF(F66=0,0,IF(I66&gt;0,I66,0)),"")</f>
        <v/>
      </c>
      <c r="J47" s="58" t="str">
        <f t="shared" si="34"/>
        <v/>
      </c>
      <c r="K47" s="58" t="str">
        <f t="shared" si="34"/>
        <v/>
      </c>
      <c r="N47" s="15"/>
      <c r="O47" s="15"/>
      <c r="P47" s="15"/>
      <c r="Q47" s="59" t="s">
        <v>95</v>
      </c>
      <c r="R47" s="33"/>
      <c r="S47" s="60"/>
      <c r="AB47" s="126">
        <v>9</v>
      </c>
      <c r="AC47" s="142">
        <f t="shared" si="25"/>
        <v>0</v>
      </c>
      <c r="AD47" s="143">
        <f t="shared" si="23"/>
        <v>0</v>
      </c>
      <c r="AE47" s="138">
        <f t="shared" si="24"/>
        <v>0</v>
      </c>
      <c r="AH47" s="136">
        <f>IF(Z33="Forage",(80.21*#REF!)-(0.0166*($C$21^2))+(2.658*#REF!)+(3.691*$G$38)+(0.0507*($C$21*#REF!))-(2.9673*(#REF!*#REF!))-(3.999*(#REF!*$G$38)),0)</f>
        <v>0</v>
      </c>
      <c r="AO47" s="149"/>
    </row>
    <row r="48" spans="1:41" ht="20.100000000000001" customHeight="1">
      <c r="A48" s="64">
        <v>6</v>
      </c>
      <c r="B48" s="61" t="str">
        <f t="shared" si="26"/>
        <v>Silagem de milho</v>
      </c>
      <c r="C48" s="62">
        <f t="shared" si="27"/>
        <v>2.7176</v>
      </c>
      <c r="D48" s="62">
        <f t="shared" si="28"/>
        <v>30.922499999999996</v>
      </c>
      <c r="E48" s="65">
        <f t="shared" si="29"/>
        <v>31.951726650000005</v>
      </c>
      <c r="F48" s="62">
        <f t="shared" si="30"/>
        <v>19.818273349999998</v>
      </c>
      <c r="G48" s="62">
        <f>IF(D30&gt;0,IF(K30&gt;0,IF(C30="Forage",(($G$62/($G$62+H67))*31.95)*1.12,(($G$62/($G$62+H67))*8.64)*1.12),0),"")</f>
        <v>30.427519209685698</v>
      </c>
      <c r="H48" s="62">
        <f t="shared" si="32"/>
        <v>6.5636465150817136</v>
      </c>
      <c r="I48" s="62">
        <f t="shared" si="33"/>
        <v>66.898265724767413</v>
      </c>
      <c r="J48" s="62">
        <f t="shared" si="34"/>
        <v>2.8995650116513749</v>
      </c>
      <c r="K48" s="62">
        <f t="shared" si="34"/>
        <v>2.4385387185163752</v>
      </c>
      <c r="Q48" s="59" t="s">
        <v>92</v>
      </c>
      <c r="R48" s="33"/>
      <c r="S48" s="60"/>
      <c r="AB48" s="126">
        <v>10</v>
      </c>
      <c r="AC48" s="142">
        <f t="shared" si="25"/>
        <v>0</v>
      </c>
      <c r="AD48" s="143">
        <f t="shared" si="23"/>
        <v>0</v>
      </c>
      <c r="AE48" s="138">
        <f t="shared" si="24"/>
        <v>0</v>
      </c>
      <c r="AH48" s="136">
        <f>IF(Z34="Forage",(80.21*#REF!)-(0.0166*($C$21^2))+(2.658*#REF!)+(3.691*$G$38)+(0.0507*($C$21*#REF!))-(2.9673*(#REF!*#REF!))-(3.999*(#REF!*$G$38)),0)</f>
        <v>0</v>
      </c>
      <c r="AO48" s="149"/>
    </row>
    <row r="49" spans="1:41" ht="20.100000000000001" customHeight="1">
      <c r="A49" s="64">
        <v>7</v>
      </c>
      <c r="B49" s="57" t="str">
        <f t="shared" si="26"/>
        <v>Milho</v>
      </c>
      <c r="C49" s="58">
        <f t="shared" si="27"/>
        <v>3.5002</v>
      </c>
      <c r="D49" s="58">
        <f t="shared" si="28"/>
        <v>70.518500000000003</v>
      </c>
      <c r="E49" s="67">
        <f t="shared" si="29"/>
        <v>8.9049200000000006</v>
      </c>
      <c r="F49" s="58">
        <f t="shared" si="30"/>
        <v>1.2850799999999989</v>
      </c>
      <c r="G49" s="58">
        <f>IF(D31&gt;0,IF(K31&gt;0,IF(C31="Forage",(($G$62/($G$62+H68))*31.95)*1.12,(($G$62/($G$62+H68))*8.64)*1.12),0),"")</f>
        <v>8.2282868848727535</v>
      </c>
      <c r="H49" s="58">
        <f t="shared" si="32"/>
        <v>8.4477343227810344</v>
      </c>
      <c r="I49" s="58">
        <f t="shared" si="33"/>
        <v>87.939971207653798</v>
      </c>
      <c r="J49" s="58">
        <f t="shared" si="34"/>
        <v>3.7357381712403939</v>
      </c>
      <c r="K49" s="58">
        <f t="shared" si="34"/>
        <v>3.2291404409077926</v>
      </c>
      <c r="Q49" s="59" t="s">
        <v>102</v>
      </c>
      <c r="R49" s="33"/>
      <c r="S49" s="60"/>
      <c r="AA49" s="126" t="s">
        <v>80</v>
      </c>
      <c r="AE49" s="138">
        <f>($AA$25/$AA$35*AE39)+($AA$26/$AA$35*AE40)+($AA$27/$AA$35*AE41)+($AA$28/$AA$35*AE42)+($AA$29/$AA$35*AE43)+($AA$30/$AA$35*AE44)+($AA$31/$AA$35*AE45)+($AA$32/$AA$35*AE46)+($AA$33/$AA$35*AE47)+($AA$34/$AA$35*AE48)</f>
        <v>1.4481584491819516E-2</v>
      </c>
      <c r="AH49" s="138" t="e">
        <f>($AA$25/$AA$35*AH39)+($AA$26/$AA$35*AH40)+($AA$27/$AA$35*AH41)+($AA$28/$AA$35*AH42)+($AA$29/$AA$35*AH43)+($AA$30/$AA$35*AH44)+($AA$31/$AA$35*AH45)+($AA$32/$AA$35*AH46)+($AA$33/$AA$35*AH47)+($AA$34/$AA$35*AH48)</f>
        <v>#REF!</v>
      </c>
      <c r="AO49" s="149"/>
    </row>
    <row r="50" spans="1:41" ht="20.100000000000001" customHeight="1">
      <c r="A50" s="64">
        <v>8</v>
      </c>
      <c r="B50" s="61" t="str">
        <f t="shared" si="26"/>
        <v>F. Soja</v>
      </c>
      <c r="C50" s="62">
        <f t="shared" si="27"/>
        <v>1.4705999999999999</v>
      </c>
      <c r="D50" s="62">
        <f t="shared" si="28"/>
        <v>30.058</v>
      </c>
      <c r="E50" s="65">
        <f t="shared" si="29"/>
        <v>9.4636400000000016</v>
      </c>
      <c r="F50" s="62">
        <f t="shared" si="30"/>
        <v>1.256359999999999</v>
      </c>
      <c r="G50" s="62">
        <f>IF(D32&gt;0,IF(K32&gt;0,IF(C32="Forage",(($G$62/($G$62+H69))*31.95)*1.12,(($G$62/($G$62+H69))*8.64)*1.12),0),"")</f>
        <v>7.3483156842501067</v>
      </c>
      <c r="H50" s="62">
        <f t="shared" si="32"/>
        <v>44.633457057085877</v>
      </c>
      <c r="I50" s="62">
        <f t="shared" si="33"/>
        <v>78.218622741335992</v>
      </c>
      <c r="J50" s="62">
        <f t="shared" si="34"/>
        <v>4.0258388539353138</v>
      </c>
      <c r="K50" s="62">
        <f t="shared" si="34"/>
        <v>3.5034306363958394</v>
      </c>
      <c r="Q50" s="59" t="s">
        <v>89</v>
      </c>
      <c r="R50" s="33"/>
      <c r="S50" s="60"/>
      <c r="AO50" s="149"/>
    </row>
    <row r="51" spans="1:41" ht="20.100000000000001" customHeight="1">
      <c r="A51" s="64">
        <v>9</v>
      </c>
      <c r="B51" s="57" t="str">
        <f t="shared" si="26"/>
        <v>Urea/AS</v>
      </c>
      <c r="C51" s="58" t="s">
        <v>118</v>
      </c>
      <c r="D51" s="58" t="s">
        <v>118</v>
      </c>
      <c r="E51" s="67" t="s">
        <v>118</v>
      </c>
      <c r="F51" s="58" t="s">
        <v>118</v>
      </c>
      <c r="G51" s="58" t="s">
        <v>118</v>
      </c>
      <c r="H51" s="58">
        <f>IFERROR(IF(D33&gt;0,IF(G33&gt;0,IF(C33="Forage",$U$25*(G33-O39)+($G$62/($G$62+H70))*(1.14*(1-EXP(-(0.8188+1.1676*0.57)))),$U$25*(G33-O39)+($G$62/($G$62+H70))*(0.99*(1-EXP(-(0.8188+1.1676*0.44))))),0),""),0)</f>
        <v>247.58472358448526</v>
      </c>
      <c r="I51" s="58" t="s">
        <v>118</v>
      </c>
      <c r="J51" s="58" t="s">
        <v>118</v>
      </c>
      <c r="K51" s="67" t="s">
        <v>118</v>
      </c>
      <c r="Q51" s="59" t="s">
        <v>93</v>
      </c>
      <c r="R51" s="33"/>
      <c r="S51" s="60"/>
      <c r="AO51" s="149"/>
    </row>
    <row r="52" spans="1:41" ht="20.100000000000001" customHeight="1" thickBot="1">
      <c r="A52" s="64">
        <v>10</v>
      </c>
      <c r="B52" s="68" t="str">
        <f t="shared" si="26"/>
        <v>Mineral mixture</v>
      </c>
      <c r="C52" s="69" t="s">
        <v>118</v>
      </c>
      <c r="D52" s="69" t="s">
        <v>118</v>
      </c>
      <c r="E52" s="70" t="s">
        <v>118</v>
      </c>
      <c r="F52" s="69" t="s">
        <v>118</v>
      </c>
      <c r="G52" s="69" t="s">
        <v>118</v>
      </c>
      <c r="H52" s="69" t="s">
        <v>118</v>
      </c>
      <c r="I52" s="69" t="s">
        <v>118</v>
      </c>
      <c r="J52" s="69" t="s">
        <v>118</v>
      </c>
      <c r="K52" s="70" t="s">
        <v>118</v>
      </c>
      <c r="Q52" s="59" t="s">
        <v>90</v>
      </c>
      <c r="R52" s="33"/>
      <c r="S52" s="60"/>
      <c r="AO52" s="149"/>
    </row>
    <row r="53" spans="1:41" ht="20.100000000000001" customHeight="1">
      <c r="A53" s="64"/>
      <c r="B53" s="71" t="s">
        <v>104</v>
      </c>
      <c r="C53" s="72">
        <f>0.86*J36</f>
        <v>2.7176</v>
      </c>
      <c r="D53" s="72">
        <f>0.95*N36</f>
        <v>30.922499999999996</v>
      </c>
      <c r="E53" s="72">
        <f>IF($D$36=0,0,3.38+0.883*K36-0.834*L36+0.0065*(L36^2)-0.197*M36)</f>
        <v>31.951726650000005</v>
      </c>
      <c r="F53" s="72">
        <f>K36-E53</f>
        <v>19.818273349999998</v>
      </c>
      <c r="G53" s="72">
        <f>IFERROR((($G$62/($G$62+H68))*31.95)*1.12,0)</f>
        <v>30.427519209685698</v>
      </c>
      <c r="H53" s="72">
        <f>IFERROR($U$25*(G36-O36)+($G$62/($G$62+H68))*(1.14*(1-EXP(-(0.8188+1.1676*0.57)))),0)</f>
        <v>6.5636465150817136</v>
      </c>
      <c r="I53" s="72">
        <f>IF(D36=0,0,H53+D53+G53+2.25*C53-7.13)</f>
        <v>66.898265724767413</v>
      </c>
      <c r="J53" s="72">
        <f>IF(D36=0,0,0.056*H53+0.042*D53+0.042*G53+0.094*2.95-0.322)</f>
        <v>2.8995650116513749</v>
      </c>
      <c r="K53" s="72">
        <f>IF(D36=0,0,0.9455*J53-0.303)</f>
        <v>2.4385387185163752</v>
      </c>
      <c r="Q53" s="59" t="s">
        <v>114</v>
      </c>
      <c r="R53" s="33"/>
      <c r="S53" s="60"/>
      <c r="X53" s="133"/>
      <c r="Y53" s="131" t="s">
        <v>42</v>
      </c>
      <c r="AN53" s="137"/>
      <c r="AO53" s="149"/>
    </row>
    <row r="54" spans="1:41" ht="20.100000000000001" customHeight="1">
      <c r="A54" s="64"/>
      <c r="B54" s="73" t="str">
        <f>C37</f>
        <v>Concentrate:</v>
      </c>
      <c r="C54" s="47">
        <f>0.86*J37</f>
        <v>3.1733122800000007</v>
      </c>
      <c r="D54" s="47">
        <f>0.95*N37</f>
        <v>63.975980150000012</v>
      </c>
      <c r="E54" s="47">
        <f>IFERROR(AE79,0)</f>
        <v>8.6495109040000013</v>
      </c>
      <c r="F54" s="47">
        <f>K37-E54</f>
        <v>1.2372100959999983</v>
      </c>
      <c r="G54" s="47">
        <f>IFERROR((($G$62/($G$62+H69))*8.64)*1.12,0)</f>
        <v>7.3483156842501067</v>
      </c>
      <c r="H54" s="47">
        <f>IFERROR($U$25*(G37-O37)+($G$62/($G$62+H69))*(0.99*(1-EXP(-(0.8188+1.1676*0.44)))),0)</f>
        <v>15.463053457085875</v>
      </c>
      <c r="I54" s="47">
        <f>IF(I59&lt;0,0,I59)</f>
        <v>86.797301921336</v>
      </c>
      <c r="J54" s="47">
        <f t="shared" ref="J54:K55" si="35">IF(J59&lt;0,0,J59)</f>
        <v>3.8168514186353146</v>
      </c>
      <c r="K54" s="47">
        <f t="shared" si="35"/>
        <v>3.3058330163196903</v>
      </c>
      <c r="Q54" s="59" t="s">
        <v>100</v>
      </c>
      <c r="R54" s="33"/>
      <c r="S54" s="60"/>
      <c r="AO54" s="149"/>
    </row>
    <row r="55" spans="1:41" ht="20.100000000000001" customHeight="1">
      <c r="A55" s="64"/>
      <c r="B55" s="74" t="str">
        <f>C38</f>
        <v>Diet:</v>
      </c>
      <c r="C55" s="75">
        <f>0.86*J38</f>
        <v>2.9454561400000001</v>
      </c>
      <c r="D55" s="75">
        <f>0.95*N38</f>
        <v>47.449240075000006</v>
      </c>
      <c r="E55" s="75">
        <f>E53*(D36/100)+E54*(D37/100)</f>
        <v>20.300618777000004</v>
      </c>
      <c r="F55" s="75">
        <f>K38-E55</f>
        <v>10.527741722999998</v>
      </c>
      <c r="G55" s="75">
        <f>G53*(D36/100)+G54*(D37/100)</f>
        <v>18.887917446967904</v>
      </c>
      <c r="H55" s="75">
        <f>(D36/100)*H53+(D37/100)*H54</f>
        <v>11.013349986083794</v>
      </c>
      <c r="I55" s="75">
        <f>IF(I60&lt;0,0,I60)</f>
        <v>76.847783823051714</v>
      </c>
      <c r="J55" s="75">
        <f t="shared" si="35"/>
        <v>3.3582082151433443</v>
      </c>
      <c r="K55" s="75">
        <f t="shared" si="35"/>
        <v>2.8721858674180321</v>
      </c>
      <c r="Q55" s="59" t="s">
        <v>115</v>
      </c>
      <c r="R55" s="33"/>
      <c r="S55" s="60"/>
      <c r="Y55" s="132" t="s">
        <v>1</v>
      </c>
      <c r="Z55" s="131" t="s">
        <v>2</v>
      </c>
      <c r="AA55" s="131" t="s">
        <v>83</v>
      </c>
      <c r="AB55" s="131" t="s">
        <v>47</v>
      </c>
      <c r="AC55" s="131" t="s">
        <v>49</v>
      </c>
      <c r="AD55" s="131" t="s">
        <v>53</v>
      </c>
      <c r="AE55" s="131" t="s">
        <v>60</v>
      </c>
      <c r="AF55" s="131" t="s">
        <v>61</v>
      </c>
      <c r="AG55" s="131" t="s">
        <v>4</v>
      </c>
      <c r="AH55" s="131" t="s">
        <v>54</v>
      </c>
      <c r="AI55" s="131" t="s">
        <v>58</v>
      </c>
      <c r="AJ55" s="131" t="s">
        <v>5</v>
      </c>
      <c r="AK55" s="131" t="s">
        <v>64</v>
      </c>
      <c r="AL55" s="131" t="s">
        <v>67</v>
      </c>
      <c r="AM55" s="131" t="s">
        <v>69</v>
      </c>
      <c r="AN55" s="126" t="s">
        <v>6</v>
      </c>
      <c r="AO55" s="149"/>
    </row>
    <row r="56" spans="1:41" ht="20.100000000000001" customHeight="1">
      <c r="C56" s="161"/>
      <c r="D56" s="161"/>
      <c r="E56" s="161"/>
      <c r="F56" s="161"/>
      <c r="G56" s="161"/>
      <c r="Q56" s="59" t="s">
        <v>87</v>
      </c>
      <c r="R56" s="33"/>
      <c r="S56" s="60"/>
      <c r="X56" s="126">
        <v>1</v>
      </c>
      <c r="Y56" s="134">
        <f t="shared" ref="Y56:Z65" si="36">B25</f>
        <v>0</v>
      </c>
      <c r="Z56" s="134">
        <f t="shared" si="36"/>
        <v>0</v>
      </c>
      <c r="AA56" s="128">
        <f t="shared" ref="AA56:AA63" si="37">IF($C25="Forage",0,D25)</f>
        <v>0</v>
      </c>
      <c r="AB56" s="128">
        <f t="shared" ref="AB56:AB63" si="38">IF($C25="Forage",0,E25)</f>
        <v>0</v>
      </c>
      <c r="AC56" s="128">
        <f t="shared" ref="AC56:AC63" si="39">IF($C25="Forage",0,F25)</f>
        <v>0</v>
      </c>
      <c r="AD56" s="128">
        <f t="shared" ref="AD56:AD63" si="40">IF($C25="Forage",0,G25)</f>
        <v>0</v>
      </c>
      <c r="AE56" s="128">
        <f t="shared" ref="AE56:AE63" si="41">IF($C25="Forage",0,H25)</f>
        <v>0</v>
      </c>
      <c r="AF56" s="128">
        <f t="shared" ref="AF56:AF63" si="42">IF($C25="Forage",0,I25)</f>
        <v>0</v>
      </c>
      <c r="AG56" s="128">
        <f t="shared" ref="AG56:AG63" si="43">IF($C25="Forage",0,J25)</f>
        <v>0</v>
      </c>
      <c r="AH56" s="128">
        <f t="shared" ref="AH56:AH63" si="44">IF($C25="Forage",0,K25)</f>
        <v>0</v>
      </c>
      <c r="AI56" s="128">
        <f t="shared" ref="AI56:AI63" si="45">IF($C25="Forage",0,L25)</f>
        <v>0</v>
      </c>
      <c r="AJ56" s="128">
        <f t="shared" ref="AJ56:AJ63" si="46">IF($C25="Forage",0,M25)</f>
        <v>0</v>
      </c>
      <c r="AK56" s="128">
        <f t="shared" ref="AK56:AK63" si="47">IF($C25="Forage",0,N25)</f>
        <v>0</v>
      </c>
      <c r="AL56" s="128">
        <f t="shared" ref="AL56:AL63" si="48">IF($C25="Forage",0,O25)</f>
        <v>0</v>
      </c>
      <c r="AM56" s="128">
        <f t="shared" ref="AM56:AM63" si="49">IF($C25="Forage",0,P25)</f>
        <v>0</v>
      </c>
      <c r="AN56" s="126">
        <f>IF(AA56=0,0,AA56/(AB56/100))</f>
        <v>0</v>
      </c>
      <c r="AO56" s="149"/>
    </row>
    <row r="57" spans="1:41" ht="20.100000000000001" customHeight="1">
      <c r="A57" s="12"/>
      <c r="B57" s="11" t="str">
        <f>B51</f>
        <v>Urea/AS</v>
      </c>
      <c r="C57" s="11">
        <f>IF(D33&gt;0,0.86*J39,"")</f>
        <v>0</v>
      </c>
      <c r="D57" s="11">
        <f>IF(D33&gt;0,0.95*N39,"")</f>
        <v>0</v>
      </c>
      <c r="E57" s="11" t="str">
        <f>IF(D33&gt;0,IF(K39&gt;0,IF(C33="Forage",3.38+0.883*K39-0.834*L39+0.0065*(L39^2)-0.197*M39,-1.19-10.16*Q39+1.012*K39-0.052*L39),"0"),"")</f>
        <v>0</v>
      </c>
      <c r="F57" s="11" t="str">
        <f>IF(D33&gt;0,IF(K39&gt;0,K39-E57,"0"),"")</f>
        <v>0</v>
      </c>
      <c r="G57" s="11">
        <f>IF(D33&gt;0,IF(K39&gt;0,IF(C33="Forage",(($G$62/($G$62+#REF!))*31.95)*1.12,(($G$62/($G$62+#REF!))*8.64)*1.12),0),"")</f>
        <v>0</v>
      </c>
      <c r="H57" s="11"/>
      <c r="I57" s="11">
        <f>IF(D33&gt;0,IF(F70=0,0,IF(I70&gt;0,I70,0)),"")</f>
        <v>0</v>
      </c>
      <c r="J57" s="11">
        <f>IF(J70&gt;0,J70,0)</f>
        <v>13.820044520731177</v>
      </c>
      <c r="K57" s="11">
        <f>IF(K70&gt;0,K70,0)</f>
        <v>12.763852094351327</v>
      </c>
      <c r="Q57" s="59" t="s">
        <v>94</v>
      </c>
      <c r="R57" s="33"/>
      <c r="S57" s="60"/>
      <c r="T57" s="15"/>
      <c r="U57" s="15"/>
      <c r="X57" s="126">
        <v>2</v>
      </c>
      <c r="Y57" s="134">
        <f t="shared" si="36"/>
        <v>0</v>
      </c>
      <c r="Z57" s="134">
        <f t="shared" si="36"/>
        <v>0</v>
      </c>
      <c r="AA57" s="128">
        <f t="shared" si="37"/>
        <v>0</v>
      </c>
      <c r="AB57" s="128">
        <f t="shared" si="38"/>
        <v>0</v>
      </c>
      <c r="AC57" s="128">
        <f t="shared" si="39"/>
        <v>0</v>
      </c>
      <c r="AD57" s="128">
        <f t="shared" si="40"/>
        <v>0</v>
      </c>
      <c r="AE57" s="128">
        <f t="shared" si="41"/>
        <v>0</v>
      </c>
      <c r="AF57" s="128">
        <f t="shared" si="42"/>
        <v>0</v>
      </c>
      <c r="AG57" s="128">
        <f t="shared" si="43"/>
        <v>0</v>
      </c>
      <c r="AH57" s="128">
        <f t="shared" si="44"/>
        <v>0</v>
      </c>
      <c r="AI57" s="128">
        <f t="shared" si="45"/>
        <v>0</v>
      </c>
      <c r="AJ57" s="128">
        <f t="shared" si="46"/>
        <v>0</v>
      </c>
      <c r="AK57" s="128">
        <f t="shared" si="47"/>
        <v>0</v>
      </c>
      <c r="AL57" s="128">
        <f t="shared" si="48"/>
        <v>0</v>
      </c>
      <c r="AM57" s="128">
        <f t="shared" si="49"/>
        <v>0</v>
      </c>
      <c r="AN57" s="126">
        <f t="shared" ref="AN57:AN64" si="50">IF(AA57=0,0,AA57/(AB57/100))</f>
        <v>0</v>
      </c>
      <c r="AO57" s="149"/>
    </row>
    <row r="58" spans="1:41" ht="20.100000000000001" customHeight="1">
      <c r="A58" s="12"/>
      <c r="B58" s="11" t="str">
        <f>B52</f>
        <v>Mineral mixture</v>
      </c>
      <c r="C58" s="11">
        <f>IF(D34&gt;0,0.86*J40,"")</f>
        <v>0</v>
      </c>
      <c r="D58" s="11">
        <f>IF(D34&gt;0,0.95*N40,"")</f>
        <v>0</v>
      </c>
      <c r="E58" s="11" t="str">
        <f>IF(D34&gt;0,IF(K40&gt;0,IF(C34="Forage",3.38+0.883*K40-0.834*L40+0.0065*(L40^2)-0.197*M40,-1.19-10.16*Q40+1.012*K40-0.052*L40),"0"),"")</f>
        <v>0</v>
      </c>
      <c r="F58" s="11" t="str">
        <f>IF(D34&gt;0,IF(K40&gt;0,K40-E58,"0"),"")</f>
        <v>0</v>
      </c>
      <c r="G58" s="11">
        <f>IF(D34&gt;0,IF(K40&gt;0,IF(C34="Forage",(($G$62/($G$62+H71))*31.95)*1.12,(($G$62/($G$62+H71))*8.64)*1.12),0),"")</f>
        <v>0</v>
      </c>
      <c r="H58" s="11">
        <f>IF(D34&gt;0,IF(G40&gt;0,IF(C34="Forage",$U$25*(G40-O40)+($G$62/($G$62+H71))*(1.14*(1-EXP(-(0.8188+1.1676*0.57)))),$U$25*(G40-O40)+($G$62/($G$62+H71))*(0.99*(1-EXP(-(0.8188+1.1676*0.44))))),0),"")</f>
        <v>0</v>
      </c>
      <c r="I58" s="11">
        <f>IF(D34&gt;0,IF(F71=0,0,IF(I71&gt;0,I71,0)),"")</f>
        <v>0</v>
      </c>
      <c r="J58" s="11">
        <f>IF(J71&gt;0,J71,0)</f>
        <v>0</v>
      </c>
      <c r="K58" s="11">
        <f>IF(K71&gt;0,K71,0)</f>
        <v>0</v>
      </c>
      <c r="Q58" s="59" t="s">
        <v>112</v>
      </c>
      <c r="R58" s="33"/>
      <c r="S58" s="60"/>
      <c r="T58" s="15"/>
      <c r="U58" s="15"/>
      <c r="X58" s="126">
        <v>3</v>
      </c>
      <c r="Y58" s="134">
        <f t="shared" si="36"/>
        <v>0</v>
      </c>
      <c r="Z58" s="134">
        <f t="shared" si="36"/>
        <v>0</v>
      </c>
      <c r="AA58" s="128">
        <f t="shared" si="37"/>
        <v>0</v>
      </c>
      <c r="AB58" s="128">
        <f t="shared" si="38"/>
        <v>0</v>
      </c>
      <c r="AC58" s="128">
        <f t="shared" si="39"/>
        <v>0</v>
      </c>
      <c r="AD58" s="128">
        <f t="shared" si="40"/>
        <v>0</v>
      </c>
      <c r="AE58" s="128">
        <f t="shared" si="41"/>
        <v>0</v>
      </c>
      <c r="AF58" s="128">
        <f t="shared" si="42"/>
        <v>0</v>
      </c>
      <c r="AG58" s="128">
        <f t="shared" si="43"/>
        <v>0</v>
      </c>
      <c r="AH58" s="128">
        <f t="shared" si="44"/>
        <v>0</v>
      </c>
      <c r="AI58" s="128">
        <f t="shared" si="45"/>
        <v>0</v>
      </c>
      <c r="AJ58" s="128">
        <f t="shared" si="46"/>
        <v>0</v>
      </c>
      <c r="AK58" s="128">
        <f t="shared" si="47"/>
        <v>0</v>
      </c>
      <c r="AL58" s="128">
        <f t="shared" si="48"/>
        <v>0</v>
      </c>
      <c r="AM58" s="128">
        <f t="shared" si="49"/>
        <v>0</v>
      </c>
      <c r="AN58" s="126">
        <f t="shared" si="50"/>
        <v>0</v>
      </c>
      <c r="AO58" s="149"/>
    </row>
    <row r="59" spans="1:41" ht="20.100000000000001" customHeight="1" thickBot="1">
      <c r="A59" s="12"/>
      <c r="B59" s="11"/>
      <c r="C59" s="11"/>
      <c r="D59" s="11"/>
      <c r="E59" s="11"/>
      <c r="F59" s="11"/>
      <c r="G59" s="11"/>
      <c r="H59" s="11"/>
      <c r="I59" s="24">
        <f>IF(D37=0,0,H54+D54+G54+2.25*C54-7.13)</f>
        <v>86.797301921336</v>
      </c>
      <c r="J59" s="41">
        <f>IF(D37=0,0,0.056*H54+0.042*D54+0.042*G54+0.094*2.95-0.322)</f>
        <v>3.8168514186353146</v>
      </c>
      <c r="K59" s="24">
        <f>IF(D37=0,0,0.9455*J59-0.303)</f>
        <v>3.3058330163196903</v>
      </c>
      <c r="Q59" s="76" t="s">
        <v>96</v>
      </c>
      <c r="R59" s="77"/>
      <c r="S59" s="78"/>
      <c r="T59" s="15"/>
      <c r="U59" s="15"/>
      <c r="X59" s="126">
        <v>4</v>
      </c>
      <c r="Y59" s="134">
        <f t="shared" si="36"/>
        <v>0</v>
      </c>
      <c r="Z59" s="134">
        <f t="shared" si="36"/>
        <v>0</v>
      </c>
      <c r="AA59" s="128">
        <f t="shared" ref="AA59:AJ60" si="51">IF($C28="Forage",0,D28)</f>
        <v>0</v>
      </c>
      <c r="AB59" s="128">
        <f t="shared" si="51"/>
        <v>0</v>
      </c>
      <c r="AC59" s="128">
        <f t="shared" si="51"/>
        <v>0</v>
      </c>
      <c r="AD59" s="128">
        <f t="shared" si="51"/>
        <v>0</v>
      </c>
      <c r="AE59" s="128">
        <f t="shared" si="51"/>
        <v>0</v>
      </c>
      <c r="AF59" s="128">
        <f t="shared" si="51"/>
        <v>0</v>
      </c>
      <c r="AG59" s="128">
        <f t="shared" si="51"/>
        <v>0</v>
      </c>
      <c r="AH59" s="128">
        <f t="shared" si="51"/>
        <v>0</v>
      </c>
      <c r="AI59" s="128">
        <f t="shared" si="51"/>
        <v>0</v>
      </c>
      <c r="AJ59" s="128">
        <f t="shared" si="51"/>
        <v>0</v>
      </c>
      <c r="AK59" s="128">
        <f t="shared" si="47"/>
        <v>0</v>
      </c>
      <c r="AL59" s="128">
        <f t="shared" si="48"/>
        <v>0</v>
      </c>
      <c r="AM59" s="128">
        <f t="shared" si="49"/>
        <v>0</v>
      </c>
      <c r="AN59" s="126">
        <f t="shared" si="50"/>
        <v>0</v>
      </c>
      <c r="AO59" s="149"/>
    </row>
    <row r="60" spans="1:41" s="161" customFormat="1" ht="20.100000000000001" customHeight="1">
      <c r="B60" s="162"/>
      <c r="C60" s="162"/>
      <c r="D60" s="162"/>
      <c r="E60" s="162"/>
      <c r="F60" s="11"/>
      <c r="G60" s="11"/>
      <c r="H60" s="11"/>
      <c r="I60" s="24">
        <f>IF(D35=0,0,H55+D55+G55+2.25*C55-7.13)</f>
        <v>76.847783823051714</v>
      </c>
      <c r="J60" s="41">
        <f>IF(D35=0,0,0.056*H55+0.042*D55+0.042*G55+0.094*2.95-0.322)</f>
        <v>3.3582082151433443</v>
      </c>
      <c r="K60" s="24">
        <f>IF(D35=0,0,0.9455*J60-0.303)</f>
        <v>2.8721858674180321</v>
      </c>
      <c r="T60" s="162"/>
      <c r="U60" s="162"/>
      <c r="V60" s="162"/>
      <c r="W60" s="162"/>
      <c r="X60" s="162">
        <v>5</v>
      </c>
      <c r="Y60" s="164">
        <f t="shared" si="36"/>
        <v>0</v>
      </c>
      <c r="Z60" s="164">
        <f t="shared" si="36"/>
        <v>0</v>
      </c>
      <c r="AA60" s="165">
        <f t="shared" si="51"/>
        <v>0</v>
      </c>
      <c r="AB60" s="165">
        <f t="shared" si="51"/>
        <v>0</v>
      </c>
      <c r="AC60" s="165">
        <f t="shared" si="51"/>
        <v>0</v>
      </c>
      <c r="AD60" s="165">
        <f t="shared" si="51"/>
        <v>0</v>
      </c>
      <c r="AE60" s="165">
        <f t="shared" si="51"/>
        <v>0</v>
      </c>
      <c r="AF60" s="165">
        <f t="shared" si="51"/>
        <v>0</v>
      </c>
      <c r="AG60" s="165">
        <f t="shared" si="51"/>
        <v>0</v>
      </c>
      <c r="AH60" s="165">
        <f t="shared" si="51"/>
        <v>0</v>
      </c>
      <c r="AI60" s="165">
        <f t="shared" si="51"/>
        <v>0</v>
      </c>
      <c r="AJ60" s="165">
        <f t="shared" si="51"/>
        <v>0</v>
      </c>
      <c r="AK60" s="165">
        <f t="shared" si="47"/>
        <v>0</v>
      </c>
      <c r="AL60" s="165">
        <f t="shared" si="48"/>
        <v>0</v>
      </c>
      <c r="AM60" s="165">
        <f t="shared" si="49"/>
        <v>0</v>
      </c>
      <c r="AN60" s="162">
        <f t="shared" si="50"/>
        <v>0</v>
      </c>
    </row>
    <row r="61" spans="1:41" s="161" customFormat="1" ht="20.100000000000001" customHeight="1" thickBot="1">
      <c r="B61" s="162"/>
      <c r="C61" s="162"/>
      <c r="D61" s="162"/>
      <c r="E61" s="162"/>
      <c r="F61" s="11" t="s">
        <v>65</v>
      </c>
      <c r="G61" s="11" t="s">
        <v>9</v>
      </c>
      <c r="H61" s="96" t="s">
        <v>7</v>
      </c>
      <c r="I61" s="96" t="s">
        <v>78</v>
      </c>
      <c r="J61" s="96" t="s">
        <v>79</v>
      </c>
      <c r="K61" s="96" t="s">
        <v>81</v>
      </c>
      <c r="N61" s="162"/>
      <c r="O61" s="162"/>
      <c r="P61" s="162"/>
      <c r="Q61" s="166" t="s">
        <v>101</v>
      </c>
      <c r="R61" s="166"/>
      <c r="S61" s="166"/>
      <c r="T61" s="163"/>
      <c r="U61" s="162"/>
      <c r="V61" s="162"/>
      <c r="W61" s="162"/>
      <c r="X61" s="162">
        <v>6</v>
      </c>
      <c r="Y61" s="164" t="str">
        <f t="shared" si="36"/>
        <v>Silagem de milho</v>
      </c>
      <c r="Z61" s="164" t="str">
        <f t="shared" si="36"/>
        <v>Forage</v>
      </c>
      <c r="AA61" s="165">
        <f t="shared" si="37"/>
        <v>0</v>
      </c>
      <c r="AB61" s="165">
        <f t="shared" si="38"/>
        <v>0</v>
      </c>
      <c r="AC61" s="165">
        <f t="shared" si="39"/>
        <v>0</v>
      </c>
      <c r="AD61" s="165">
        <f t="shared" si="40"/>
        <v>0</v>
      </c>
      <c r="AE61" s="165">
        <f t="shared" si="41"/>
        <v>0</v>
      </c>
      <c r="AF61" s="165">
        <f t="shared" si="42"/>
        <v>0</v>
      </c>
      <c r="AG61" s="165">
        <f t="shared" si="43"/>
        <v>0</v>
      </c>
      <c r="AH61" s="165">
        <f t="shared" si="44"/>
        <v>0</v>
      </c>
      <c r="AI61" s="165">
        <f t="shared" si="45"/>
        <v>0</v>
      </c>
      <c r="AJ61" s="165">
        <f t="shared" si="46"/>
        <v>0</v>
      </c>
      <c r="AK61" s="165">
        <f t="shared" si="47"/>
        <v>0</v>
      </c>
      <c r="AL61" s="165">
        <f t="shared" si="48"/>
        <v>0</v>
      </c>
      <c r="AM61" s="165">
        <f t="shared" si="49"/>
        <v>0</v>
      </c>
      <c r="AN61" s="162">
        <f t="shared" si="50"/>
        <v>0</v>
      </c>
    </row>
    <row r="62" spans="1:41" s="161" customFormat="1" ht="20.100000000000001" customHeight="1">
      <c r="B62" s="162"/>
      <c r="C62" s="162"/>
      <c r="D62" s="162"/>
      <c r="E62" s="162"/>
      <c r="F62" s="24">
        <f t="shared" ref="F62:F69" si="52">IF(D25&gt;0,C43+D43+E43,0)</f>
        <v>0</v>
      </c>
      <c r="G62" s="48">
        <f>0.00329*C21</f>
        <v>8.2262722029788043E-2</v>
      </c>
      <c r="H62" s="41" t="str">
        <f t="shared" ref="H62:H67" si="53">IF(D25&gt;0,IF(K25&gt;0,IF(C25="Forage",0.287/F43,1.8*$H$68),0),"")</f>
        <v/>
      </c>
      <c r="I62" s="24" t="str">
        <f t="shared" ref="I62:I69" si="54">IF(D25&gt;0,H43+D43+G43+2.25*C43-7.13,"")</f>
        <v/>
      </c>
      <c r="J62" s="41" t="str">
        <f t="shared" ref="J62:J69" si="55">IF(D25&gt;0,0.056*H43+0.042*D43+0.042*G43+0.094*2.95-0.322,"")</f>
        <v/>
      </c>
      <c r="K62" s="24" t="str">
        <f t="shared" ref="K62:K69" si="56">IF(D25&gt;0,0.9455*J62-0.303,"")</f>
        <v/>
      </c>
      <c r="N62" s="162"/>
      <c r="O62" s="162"/>
      <c r="P62" s="162"/>
      <c r="Q62" s="167" t="s">
        <v>12</v>
      </c>
      <c r="R62" s="168"/>
      <c r="S62" s="169"/>
      <c r="T62" s="163"/>
      <c r="U62" s="162"/>
      <c r="V62" s="162"/>
      <c r="W62" s="162"/>
      <c r="X62" s="162">
        <v>7</v>
      </c>
      <c r="Y62" s="164" t="str">
        <f t="shared" si="36"/>
        <v>Milho</v>
      </c>
      <c r="Z62" s="164" t="str">
        <f t="shared" si="36"/>
        <v>Concentrate</v>
      </c>
      <c r="AA62" s="165">
        <f t="shared" si="37"/>
        <v>43.215000000000003</v>
      </c>
      <c r="AB62" s="165">
        <f t="shared" si="38"/>
        <v>87.64</v>
      </c>
      <c r="AC62" s="165">
        <f t="shared" si="39"/>
        <v>97.6</v>
      </c>
      <c r="AD62" s="165">
        <f t="shared" si="40"/>
        <v>9.11</v>
      </c>
      <c r="AE62" s="165">
        <f t="shared" si="41"/>
        <v>0</v>
      </c>
      <c r="AF62" s="165">
        <f t="shared" si="42"/>
        <v>0</v>
      </c>
      <c r="AG62" s="165">
        <f t="shared" si="43"/>
        <v>4.07</v>
      </c>
      <c r="AH62" s="165">
        <f t="shared" si="44"/>
        <v>10.19</v>
      </c>
      <c r="AI62" s="165">
        <f t="shared" si="45"/>
        <v>4.18</v>
      </c>
      <c r="AJ62" s="165">
        <f t="shared" si="46"/>
        <v>1.1599999999999999</v>
      </c>
      <c r="AK62" s="165">
        <f t="shared" si="47"/>
        <v>74.23</v>
      </c>
      <c r="AL62" s="165">
        <f t="shared" si="48"/>
        <v>0.87</v>
      </c>
      <c r="AM62" s="165">
        <f t="shared" si="49"/>
        <v>0.35</v>
      </c>
      <c r="AN62" s="162">
        <f t="shared" si="50"/>
        <v>49.309675947056142</v>
      </c>
    </row>
    <row r="63" spans="1:41" s="161" customFormat="1" ht="20.100000000000001" customHeight="1">
      <c r="B63" s="162"/>
      <c r="C63" s="162"/>
      <c r="D63" s="162"/>
      <c r="E63" s="162"/>
      <c r="F63" s="24">
        <f t="shared" si="52"/>
        <v>0</v>
      </c>
      <c r="G63" s="11"/>
      <c r="H63" s="41" t="str">
        <f t="shared" si="53"/>
        <v/>
      </c>
      <c r="I63" s="24" t="str">
        <f t="shared" si="54"/>
        <v/>
      </c>
      <c r="J63" s="41" t="str">
        <f t="shared" si="55"/>
        <v/>
      </c>
      <c r="K63" s="24" t="str">
        <f t="shared" si="56"/>
        <v/>
      </c>
      <c r="N63" s="162"/>
      <c r="O63" s="162"/>
      <c r="P63" s="162"/>
      <c r="Q63" s="170" t="s">
        <v>13</v>
      </c>
      <c r="R63" s="171"/>
      <c r="S63" s="172"/>
      <c r="T63" s="163"/>
      <c r="U63" s="162"/>
      <c r="V63" s="162"/>
      <c r="W63" s="162"/>
      <c r="X63" s="162">
        <v>8</v>
      </c>
      <c r="Y63" s="164" t="str">
        <f t="shared" si="36"/>
        <v>F. Soja</v>
      </c>
      <c r="Z63" s="164" t="str">
        <f t="shared" si="36"/>
        <v>Concentrate</v>
      </c>
      <c r="AA63" s="165">
        <f t="shared" si="37"/>
        <v>5.0350000000000001</v>
      </c>
      <c r="AB63" s="165">
        <f t="shared" si="38"/>
        <v>88.61</v>
      </c>
      <c r="AC63" s="165">
        <f t="shared" si="39"/>
        <v>92.85</v>
      </c>
      <c r="AD63" s="165">
        <f t="shared" si="40"/>
        <v>48.78</v>
      </c>
      <c r="AE63" s="165">
        <f t="shared" si="41"/>
        <v>0</v>
      </c>
      <c r="AF63" s="165">
        <f t="shared" si="42"/>
        <v>0</v>
      </c>
      <c r="AG63" s="165">
        <f t="shared" si="43"/>
        <v>1.71</v>
      </c>
      <c r="AH63" s="165">
        <f t="shared" si="44"/>
        <v>10.72</v>
      </c>
      <c r="AI63" s="165">
        <f t="shared" si="45"/>
        <v>3.75</v>
      </c>
      <c r="AJ63" s="165">
        <f t="shared" si="46"/>
        <v>1.33</v>
      </c>
      <c r="AK63" s="165">
        <f t="shared" si="47"/>
        <v>31.64</v>
      </c>
      <c r="AL63" s="165">
        <f t="shared" si="48"/>
        <v>2.38</v>
      </c>
      <c r="AM63" s="165">
        <f t="shared" si="49"/>
        <v>1.34</v>
      </c>
      <c r="AN63" s="162">
        <f t="shared" si="50"/>
        <v>5.6822029116352555</v>
      </c>
    </row>
    <row r="64" spans="1:41" ht="20.100000000000001" customHeight="1">
      <c r="A64" s="12"/>
      <c r="B64" s="11"/>
      <c r="C64" s="11"/>
      <c r="D64" s="11"/>
      <c r="E64" s="162"/>
      <c r="F64" s="24">
        <f t="shared" si="52"/>
        <v>0</v>
      </c>
      <c r="G64" s="11"/>
      <c r="H64" s="41" t="str">
        <f t="shared" si="53"/>
        <v/>
      </c>
      <c r="I64" s="24" t="str">
        <f t="shared" si="54"/>
        <v/>
      </c>
      <c r="J64" s="41" t="str">
        <f t="shared" si="55"/>
        <v/>
      </c>
      <c r="K64" s="24" t="str">
        <f t="shared" si="56"/>
        <v/>
      </c>
      <c r="N64" s="15"/>
      <c r="O64" s="15"/>
      <c r="P64" s="15"/>
      <c r="Q64" s="117" t="s">
        <v>19</v>
      </c>
      <c r="R64" s="118"/>
      <c r="S64" s="60"/>
      <c r="T64" s="116"/>
      <c r="U64" s="15"/>
      <c r="X64" s="126">
        <v>9</v>
      </c>
      <c r="Y64" s="134" t="str">
        <f t="shared" si="36"/>
        <v>Urea/AS</v>
      </c>
      <c r="Z64" s="134" t="str">
        <f t="shared" si="36"/>
        <v>Concentrate</v>
      </c>
      <c r="AA64" s="128">
        <f t="shared" ref="AA64:AF65" si="57">IF($C33="Forage",0,D33)</f>
        <v>0.75</v>
      </c>
      <c r="AB64" s="128">
        <f t="shared" si="57"/>
        <v>100</v>
      </c>
      <c r="AC64" s="128">
        <f t="shared" si="57"/>
        <v>100</v>
      </c>
      <c r="AD64" s="128">
        <f t="shared" si="57"/>
        <v>260</v>
      </c>
      <c r="AE64" s="128">
        <f t="shared" si="57"/>
        <v>100</v>
      </c>
      <c r="AF64" s="128">
        <f t="shared" si="57"/>
        <v>260</v>
      </c>
      <c r="AG64" s="128">
        <f t="shared" ref="AG64:AM65" si="58">IF($C33="Forage",0,J39)</f>
        <v>0</v>
      </c>
      <c r="AH64" s="128">
        <f t="shared" si="58"/>
        <v>0</v>
      </c>
      <c r="AI64" s="128">
        <f t="shared" si="58"/>
        <v>0</v>
      </c>
      <c r="AJ64" s="128">
        <f t="shared" si="58"/>
        <v>0</v>
      </c>
      <c r="AK64" s="128">
        <f t="shared" si="58"/>
        <v>0</v>
      </c>
      <c r="AL64" s="128">
        <f t="shared" si="58"/>
        <v>0</v>
      </c>
      <c r="AM64" s="128">
        <f t="shared" si="58"/>
        <v>0</v>
      </c>
      <c r="AN64" s="126">
        <f t="shared" si="50"/>
        <v>0.75</v>
      </c>
      <c r="AO64" s="149"/>
    </row>
    <row r="65" spans="1:46" ht="20.100000000000001" customHeight="1">
      <c r="A65" s="12"/>
      <c r="B65" s="11"/>
      <c r="C65" s="11"/>
      <c r="D65" s="11"/>
      <c r="E65" s="162"/>
      <c r="F65" s="24">
        <f>IF(D28&gt;0,C46+D46+E46,0)</f>
        <v>0</v>
      </c>
      <c r="G65" s="11"/>
      <c r="H65" s="41" t="str">
        <f>IF(D28&gt;0,IF(K28&gt;0,IF(C28="Forage",0.287/F46,1.8*$H$68),0),"")</f>
        <v/>
      </c>
      <c r="I65" s="24" t="str">
        <f>IF(D28&gt;0,H46+D46+G46+2.25*C46-7.13,"")</f>
        <v/>
      </c>
      <c r="J65" s="41" t="str">
        <f>IF(D28&gt;0,0.056*H46+0.042*D46+0.042*G46+0.094*2.95-0.322,"")</f>
        <v/>
      </c>
      <c r="K65" s="24" t="str">
        <f>IF(D28&gt;0,0.9455*J65-0.303,"")</f>
        <v/>
      </c>
      <c r="N65" s="15"/>
      <c r="O65" s="15"/>
      <c r="P65" s="15"/>
      <c r="Q65" s="117" t="s">
        <v>20</v>
      </c>
      <c r="R65" s="118"/>
      <c r="S65" s="60"/>
      <c r="T65" s="116"/>
      <c r="U65" s="15"/>
      <c r="X65" s="126">
        <v>10</v>
      </c>
      <c r="Y65" s="134" t="str">
        <f t="shared" si="36"/>
        <v>Mineral mixture</v>
      </c>
      <c r="Z65" s="134" t="str">
        <f t="shared" si="36"/>
        <v>Concentrate</v>
      </c>
      <c r="AA65" s="128">
        <f t="shared" si="57"/>
        <v>1</v>
      </c>
      <c r="AB65" s="128">
        <f>IF($C34="Forage",0,E34)</f>
        <v>100</v>
      </c>
      <c r="AC65" s="128">
        <f>IF($C34="Forage",0,F40)</f>
        <v>0</v>
      </c>
      <c r="AD65" s="128">
        <f>IF($C34="Forage",0,G40)</f>
        <v>0</v>
      </c>
      <c r="AE65" s="128">
        <f>IF($C34="Forage",0,H40)</f>
        <v>0</v>
      </c>
      <c r="AF65" s="128">
        <f>IF($C34="Forage",0,I40)</f>
        <v>0</v>
      </c>
      <c r="AG65" s="128">
        <f t="shared" si="58"/>
        <v>0</v>
      </c>
      <c r="AH65" s="128">
        <f t="shared" si="58"/>
        <v>0</v>
      </c>
      <c r="AI65" s="128">
        <f t="shared" si="58"/>
        <v>0</v>
      </c>
      <c r="AJ65" s="128">
        <f t="shared" si="58"/>
        <v>0</v>
      </c>
      <c r="AK65" s="128">
        <f t="shared" si="58"/>
        <v>0</v>
      </c>
      <c r="AL65" s="128">
        <f t="shared" si="58"/>
        <v>0</v>
      </c>
      <c r="AM65" s="128">
        <f t="shared" si="58"/>
        <v>0</v>
      </c>
      <c r="AN65" s="126">
        <f>IF(AA65=0,0,AA65/(AB65/100))</f>
        <v>1</v>
      </c>
      <c r="AO65" s="149"/>
    </row>
    <row r="66" spans="1:46" s="12" customFormat="1" ht="20.100000000000001" customHeight="1">
      <c r="B66" s="11"/>
      <c r="C66" s="11"/>
      <c r="D66" s="11"/>
      <c r="E66" s="162"/>
      <c r="F66" s="24">
        <f>IF(D29&gt;0,C47+D47+E47,0)</f>
        <v>0</v>
      </c>
      <c r="G66" s="11"/>
      <c r="H66" s="41" t="str">
        <f>IF(D29&gt;0,IF(K29&gt;0,IF(C29="Forage",0.287/F47,1.8*$H$68),0),"")</f>
        <v/>
      </c>
      <c r="I66" s="24" t="str">
        <f>IF(D29&gt;0,H47+D47+G47+2.25*C47-7.13,"")</f>
        <v/>
      </c>
      <c r="J66" s="41" t="str">
        <f>IF(D29&gt;0,0.056*H47+0.042*D47+0.042*G47+0.094*2.95-0.322,"")</f>
        <v/>
      </c>
      <c r="K66" s="24" t="str">
        <f>IF(D29&gt;0,0.9455*J66-0.303,"")</f>
        <v/>
      </c>
      <c r="L66" s="79"/>
      <c r="N66" s="11"/>
      <c r="O66" s="11"/>
      <c r="P66" s="11"/>
      <c r="Q66" s="84"/>
      <c r="R66" s="87"/>
      <c r="S66" s="91"/>
      <c r="T66" s="24"/>
      <c r="U66" s="11"/>
      <c r="V66" s="126"/>
      <c r="W66" s="126"/>
      <c r="X66" s="126"/>
      <c r="Y66" s="126"/>
      <c r="Z66" s="140" t="s">
        <v>43</v>
      </c>
      <c r="AA66" s="133">
        <f>SUM(AA56:AA65)</f>
        <v>50</v>
      </c>
      <c r="AB66" s="136">
        <f t="shared" ref="AB66:AM66" si="59">($AA$56/$AA$66*AB56)+($AA$57/$AA$66*AB57)+($AA$58/$AA$66*AB58)+($AA$59/$AA$66*AB59)+($AA$60/$AA$66*AB60)+($AA$61/$AA$66*AB61)+($AA$62/$AA$66*AB62)+($AA$63/$AA$66*AB63)+($AA$64/$AA$66*AB64)+($AA$65/$AA$66*AB65)</f>
        <v>88.170279000000008</v>
      </c>
      <c r="AC66" s="136">
        <f t="shared" si="59"/>
        <v>95.205675000000014</v>
      </c>
      <c r="AD66" s="136">
        <f t="shared" si="59"/>
        <v>16.685918999999998</v>
      </c>
      <c r="AE66" s="136">
        <f t="shared" si="59"/>
        <v>1.5</v>
      </c>
      <c r="AF66" s="136">
        <f t="shared" si="59"/>
        <v>3.9</v>
      </c>
      <c r="AG66" s="136">
        <f t="shared" si="59"/>
        <v>3.6898980000000008</v>
      </c>
      <c r="AH66" s="136">
        <f t="shared" si="59"/>
        <v>9.8867209999999996</v>
      </c>
      <c r="AI66" s="136">
        <f t="shared" si="59"/>
        <v>3.990399</v>
      </c>
      <c r="AJ66" s="136">
        <f t="shared" si="59"/>
        <v>1.1365190000000001</v>
      </c>
      <c r="AK66" s="136">
        <f t="shared" si="59"/>
        <v>67.343137000000013</v>
      </c>
      <c r="AL66" s="136">
        <f t="shared" si="59"/>
        <v>0.99160700000000013</v>
      </c>
      <c r="AM66" s="136">
        <f t="shared" si="59"/>
        <v>0.43744300000000003</v>
      </c>
      <c r="AN66" s="137">
        <f>SUM(AN56:AN65)</f>
        <v>56.7418788586914</v>
      </c>
      <c r="AO66" s="149"/>
      <c r="AP66" s="149"/>
      <c r="AQ66" s="149"/>
      <c r="AR66" s="149"/>
      <c r="AS66" s="149"/>
      <c r="AT66" s="149"/>
    </row>
    <row r="67" spans="1:46" s="11" customFormat="1" ht="20.100000000000001" customHeight="1">
      <c r="E67" s="162"/>
      <c r="F67" s="24">
        <f t="shared" si="52"/>
        <v>65.591826650000002</v>
      </c>
      <c r="H67" s="48">
        <f t="shared" si="53"/>
        <v>1.4481584491819516E-2</v>
      </c>
      <c r="I67" s="24">
        <f t="shared" si="54"/>
        <v>66.898265724767413</v>
      </c>
      <c r="J67" s="41">
        <f t="shared" si="55"/>
        <v>2.8995650116513749</v>
      </c>
      <c r="K67" s="24">
        <f t="shared" si="56"/>
        <v>2.4385387185163752</v>
      </c>
      <c r="Q67" s="85" t="s">
        <v>14</v>
      </c>
      <c r="S67" s="91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48"/>
      <c r="AP67" s="148"/>
      <c r="AQ67" s="148"/>
      <c r="AR67" s="148"/>
      <c r="AS67" s="148"/>
      <c r="AT67" s="148"/>
    </row>
    <row r="68" spans="1:46" s="11" customFormat="1" ht="20.100000000000001" customHeight="1">
      <c r="E68" s="162"/>
      <c r="F68" s="24">
        <f t="shared" si="52"/>
        <v>82.923620000000014</v>
      </c>
      <c r="H68" s="41">
        <f>AE49</f>
        <v>1.4481584491819516E-2</v>
      </c>
      <c r="I68" s="24">
        <f t="shared" si="54"/>
        <v>87.939971207653798</v>
      </c>
      <c r="J68" s="41">
        <f t="shared" si="55"/>
        <v>3.7357381712403939</v>
      </c>
      <c r="K68" s="24">
        <f t="shared" si="56"/>
        <v>3.2291404409077926</v>
      </c>
      <c r="Q68" s="156" t="s">
        <v>109</v>
      </c>
      <c r="R68" s="157"/>
      <c r="S68" s="158"/>
      <c r="V68" s="126"/>
      <c r="W68" s="126"/>
      <c r="X68" s="126"/>
      <c r="Y68" s="126"/>
      <c r="Z68" s="126"/>
      <c r="AA68" s="126"/>
      <c r="AB68" s="126"/>
      <c r="AC68" s="126"/>
      <c r="AD68" s="126"/>
      <c r="AE68" s="131" t="s">
        <v>55</v>
      </c>
      <c r="AF68" s="126"/>
      <c r="AG68" s="126"/>
      <c r="AH68" s="131"/>
      <c r="AI68" s="133"/>
      <c r="AJ68" s="139"/>
      <c r="AK68" s="126"/>
      <c r="AL68" s="126"/>
      <c r="AM68" s="126"/>
      <c r="AN68" s="126"/>
      <c r="AO68" s="148"/>
      <c r="AP68" s="148"/>
      <c r="AQ68" s="148"/>
      <c r="AR68" s="148"/>
      <c r="AS68" s="148"/>
      <c r="AT68" s="148"/>
    </row>
    <row r="69" spans="1:46" s="11" customFormat="1" ht="20.100000000000001" customHeight="1">
      <c r="E69" s="162"/>
      <c r="F69" s="24">
        <f t="shared" si="52"/>
        <v>40.992240000000002</v>
      </c>
      <c r="H69" s="41">
        <f>H68*1.8</f>
        <v>2.6066852085275129E-2</v>
      </c>
      <c r="I69" s="24">
        <f t="shared" si="54"/>
        <v>78.218622741335992</v>
      </c>
      <c r="J69" s="41">
        <f t="shared" si="55"/>
        <v>4.0258388539353138</v>
      </c>
      <c r="K69" s="24">
        <f t="shared" si="56"/>
        <v>3.5034306363958394</v>
      </c>
      <c r="Q69" s="156"/>
      <c r="R69" s="157"/>
      <c r="S69" s="158"/>
      <c r="V69" s="126"/>
      <c r="W69" s="126"/>
      <c r="X69" s="126"/>
      <c r="Y69" s="126"/>
      <c r="Z69" s="126"/>
      <c r="AA69" s="126"/>
      <c r="AB69" s="126"/>
      <c r="AC69" s="126"/>
      <c r="AD69" s="126"/>
      <c r="AE69" s="144">
        <f t="shared" ref="AE69:AE76" si="60">IF(AH56=0,0,-1.19-10.16*Q25+1.012*AH56-0.052*AI56)</f>
        <v>0</v>
      </c>
      <c r="AF69" s="126"/>
      <c r="AG69" s="126"/>
      <c r="AH69" s="136"/>
      <c r="AI69" s="133"/>
      <c r="AJ69" s="126"/>
      <c r="AK69" s="126"/>
      <c r="AL69" s="126"/>
      <c r="AM69" s="126"/>
      <c r="AN69" s="126"/>
      <c r="AO69" s="148"/>
      <c r="AP69" s="148"/>
      <c r="AQ69" s="148"/>
      <c r="AR69" s="148"/>
      <c r="AS69" s="148"/>
      <c r="AT69" s="148"/>
    </row>
    <row r="70" spans="1:46" s="11" customFormat="1" ht="20.100000000000001" customHeight="1">
      <c r="E70" s="162"/>
      <c r="F70" s="24">
        <f>IF(D33&gt;0,C57+D57+E57,0)</f>
        <v>0</v>
      </c>
      <c r="H70" s="41">
        <f>(D36/100)*H68+(D37/100)*H69</f>
        <v>2.0274218288547322E-2</v>
      </c>
      <c r="I70" s="24">
        <f>IF(D33&gt;0,H51+D57+G57+2.25*C57-7.13,"")</f>
        <v>240.45472358448527</v>
      </c>
      <c r="J70" s="41">
        <f>IF(D33&gt;0,0.056*H51+0.042*D57+0.042*G57+0.094*2.95-0.322,"")</f>
        <v>13.820044520731177</v>
      </c>
      <c r="K70" s="24">
        <f>IF(D33&gt;0,0.9455*J70-0.303,"")</f>
        <v>12.763852094351327</v>
      </c>
      <c r="N70" s="3"/>
      <c r="O70" s="88"/>
      <c r="P70" s="80"/>
      <c r="Q70" s="156"/>
      <c r="R70" s="157"/>
      <c r="S70" s="158"/>
      <c r="V70" s="126"/>
      <c r="W70" s="126"/>
      <c r="X70" s="126"/>
      <c r="Y70" s="126"/>
      <c r="Z70" s="126"/>
      <c r="AA70" s="126"/>
      <c r="AB70" s="126"/>
      <c r="AC70" s="126"/>
      <c r="AD70" s="126"/>
      <c r="AE70" s="144">
        <f>IF(AH57=0,0,-1.19-10.16*Q26+1.012*AH57-0.052*AI57)</f>
        <v>0</v>
      </c>
      <c r="AF70" s="126"/>
      <c r="AG70" s="126"/>
      <c r="AH70" s="136"/>
      <c r="AI70" s="126"/>
      <c r="AJ70" s="126"/>
      <c r="AK70" s="126"/>
      <c r="AL70" s="126"/>
      <c r="AM70" s="126"/>
      <c r="AN70" s="126"/>
      <c r="AO70" s="148"/>
      <c r="AP70" s="148"/>
      <c r="AQ70" s="148"/>
      <c r="AR70" s="148"/>
      <c r="AS70" s="148"/>
      <c r="AT70" s="148"/>
    </row>
    <row r="71" spans="1:46" s="11" customFormat="1" ht="20.100000000000001" customHeight="1">
      <c r="E71" s="162"/>
      <c r="F71" s="24">
        <f>IF(D34&gt;0,C58+D58+E58,0)</f>
        <v>0</v>
      </c>
      <c r="H71" s="48">
        <f>IF(D34&gt;0,IF(K40&gt;0,IF(C34="Forage",0.287/F58,1.8*$H$68),0),"")</f>
        <v>0</v>
      </c>
      <c r="I71" s="24">
        <f>IF(D34&gt;0,H58+D58+G58+2.25*C58-7.13,"")</f>
        <v>-7.13</v>
      </c>
      <c r="J71" s="41">
        <f>IF(D34&gt;0,0.056*H58+0.042*D58+0.042*G58+0.094*2.95-0.322,"")</f>
        <v>-4.4700000000000017E-2</v>
      </c>
      <c r="K71" s="24">
        <f>IF(D34&gt;0,0.9455*J71-0.303,"")</f>
        <v>-0.34526385000000004</v>
      </c>
      <c r="N71" s="4"/>
      <c r="O71" s="4"/>
      <c r="P71" s="4"/>
      <c r="Q71" s="92"/>
      <c r="R71" s="89"/>
      <c r="S71" s="93"/>
      <c r="V71" s="126"/>
      <c r="W71" s="126"/>
      <c r="X71" s="126"/>
      <c r="Y71" s="126"/>
      <c r="Z71" s="126"/>
      <c r="AA71" s="126"/>
      <c r="AB71" s="126"/>
      <c r="AC71" s="126"/>
      <c r="AD71" s="126"/>
      <c r="AE71" s="144">
        <f t="shared" si="60"/>
        <v>0</v>
      </c>
      <c r="AF71" s="126"/>
      <c r="AG71" s="126"/>
      <c r="AH71" s="136"/>
      <c r="AI71" s="126"/>
      <c r="AJ71" s="126"/>
      <c r="AK71" s="126"/>
      <c r="AL71" s="126"/>
      <c r="AM71" s="126"/>
      <c r="AN71" s="126"/>
      <c r="AO71" s="148"/>
      <c r="AP71" s="148"/>
      <c r="AQ71" s="148"/>
      <c r="AR71" s="148"/>
      <c r="AS71" s="148"/>
      <c r="AT71" s="148"/>
    </row>
    <row r="72" spans="1:46" s="11" customFormat="1" ht="20.100000000000001" customHeight="1">
      <c r="E72" s="162"/>
      <c r="N72" s="80"/>
      <c r="Q72" s="85" t="s">
        <v>15</v>
      </c>
      <c r="R72" s="89"/>
      <c r="S72" s="93"/>
      <c r="V72" s="126"/>
      <c r="W72" s="126"/>
      <c r="X72" s="126"/>
      <c r="Y72" s="126"/>
      <c r="Z72" s="126"/>
      <c r="AA72" s="126"/>
      <c r="AB72" s="126"/>
      <c r="AC72" s="126"/>
      <c r="AD72" s="126"/>
      <c r="AE72" s="144">
        <f t="shared" si="60"/>
        <v>0</v>
      </c>
      <c r="AF72" s="126"/>
      <c r="AG72" s="126"/>
      <c r="AH72" s="136"/>
      <c r="AI72" s="126"/>
      <c r="AJ72" s="126"/>
      <c r="AK72" s="126"/>
      <c r="AL72" s="126"/>
      <c r="AM72" s="126"/>
      <c r="AN72" s="126"/>
      <c r="AO72" s="148"/>
      <c r="AP72" s="148"/>
      <c r="AQ72" s="148"/>
      <c r="AR72" s="148"/>
      <c r="AS72" s="148"/>
      <c r="AT72" s="148"/>
    </row>
    <row r="73" spans="1:46" s="11" customFormat="1" ht="20.100000000000001" customHeight="1">
      <c r="E73" s="162"/>
      <c r="F73" s="162"/>
      <c r="G73" s="162"/>
      <c r="H73" s="162"/>
      <c r="I73" s="162"/>
      <c r="J73" s="162"/>
      <c r="K73" s="162"/>
      <c r="N73" s="5"/>
      <c r="O73" s="5"/>
      <c r="P73" s="5"/>
      <c r="Q73" s="84" t="s">
        <v>16</v>
      </c>
      <c r="R73" s="89"/>
      <c r="S73" s="93"/>
      <c r="V73" s="126"/>
      <c r="W73" s="126"/>
      <c r="X73" s="126"/>
      <c r="Y73" s="126"/>
      <c r="Z73" s="126"/>
      <c r="AA73" s="126"/>
      <c r="AB73" s="126"/>
      <c r="AC73" s="126"/>
      <c r="AD73" s="126"/>
      <c r="AE73" s="144">
        <f t="shared" si="60"/>
        <v>0</v>
      </c>
      <c r="AF73" s="126"/>
      <c r="AG73" s="126"/>
      <c r="AH73" s="136"/>
      <c r="AI73" s="126"/>
      <c r="AJ73" s="126"/>
      <c r="AK73" s="126"/>
      <c r="AL73" s="126"/>
      <c r="AM73" s="126"/>
      <c r="AN73" s="126"/>
      <c r="AO73" s="148"/>
      <c r="AP73" s="148"/>
      <c r="AQ73" s="148"/>
      <c r="AR73" s="148"/>
      <c r="AS73" s="148"/>
      <c r="AT73" s="148"/>
    </row>
    <row r="74" spans="1:46" s="11" customFormat="1" ht="20.100000000000001" customHeight="1">
      <c r="E74" s="162"/>
      <c r="F74" s="162"/>
      <c r="G74" s="162"/>
      <c r="H74" s="162"/>
      <c r="I74" s="162"/>
      <c r="J74" s="162"/>
      <c r="K74" s="162"/>
      <c r="N74" s="5"/>
      <c r="O74" s="5"/>
      <c r="P74" s="5"/>
      <c r="Q74" s="84" t="s">
        <v>17</v>
      </c>
      <c r="R74" s="87"/>
      <c r="S74" s="91"/>
      <c r="V74" s="126"/>
      <c r="W74" s="126"/>
      <c r="X74" s="126"/>
      <c r="Y74" s="126"/>
      <c r="Z74" s="126"/>
      <c r="AA74" s="126"/>
      <c r="AB74" s="126"/>
      <c r="AC74" s="126"/>
      <c r="AD74" s="126"/>
      <c r="AE74" s="144">
        <f t="shared" si="60"/>
        <v>0</v>
      </c>
      <c r="AF74" s="126"/>
      <c r="AG74" s="126"/>
      <c r="AH74" s="136"/>
      <c r="AI74" s="126"/>
      <c r="AJ74" s="126"/>
      <c r="AK74" s="126"/>
      <c r="AL74" s="126"/>
      <c r="AM74" s="126"/>
      <c r="AN74" s="126"/>
      <c r="AO74" s="148"/>
      <c r="AP74" s="148"/>
      <c r="AQ74" s="148"/>
      <c r="AR74" s="148"/>
      <c r="AS74" s="148"/>
      <c r="AT74" s="148"/>
    </row>
    <row r="75" spans="1:46" s="11" customFormat="1" ht="20.100000000000001" customHeight="1">
      <c r="E75" s="162"/>
      <c r="F75" s="162"/>
      <c r="G75" s="162"/>
      <c r="H75" s="162"/>
      <c r="I75" s="162"/>
      <c r="J75" s="162"/>
      <c r="K75" s="162"/>
      <c r="N75" s="5"/>
      <c r="O75" s="5"/>
      <c r="P75" s="5"/>
      <c r="Q75" s="84" t="s">
        <v>18</v>
      </c>
      <c r="R75" s="87"/>
      <c r="S75" s="91"/>
      <c r="V75" s="126"/>
      <c r="W75" s="126"/>
      <c r="X75" s="126"/>
      <c r="Y75" s="126"/>
      <c r="Z75" s="126"/>
      <c r="AA75" s="126"/>
      <c r="AB75" s="126"/>
      <c r="AC75" s="126"/>
      <c r="AD75" s="126"/>
      <c r="AE75" s="144">
        <f t="shared" si="60"/>
        <v>8.9049200000000006</v>
      </c>
      <c r="AF75" s="126"/>
      <c r="AG75" s="126"/>
      <c r="AH75" s="136"/>
      <c r="AI75" s="126"/>
      <c r="AJ75" s="126"/>
      <c r="AK75" s="126"/>
      <c r="AL75" s="126"/>
      <c r="AM75" s="126"/>
      <c r="AN75" s="126"/>
      <c r="AO75" s="148"/>
      <c r="AP75" s="148"/>
      <c r="AQ75" s="148"/>
      <c r="AR75" s="148"/>
      <c r="AS75" s="148"/>
      <c r="AT75" s="148"/>
    </row>
    <row r="76" spans="1:46" s="11" customFormat="1" ht="20.100000000000001" customHeight="1" thickBot="1">
      <c r="E76" s="162"/>
      <c r="F76" s="162"/>
      <c r="G76" s="162"/>
      <c r="H76" s="162"/>
      <c r="I76" s="162"/>
      <c r="J76" s="162"/>
      <c r="K76" s="162"/>
      <c r="N76" s="5"/>
      <c r="O76" s="5"/>
      <c r="P76" s="5"/>
      <c r="Q76" s="86" t="s">
        <v>82</v>
      </c>
      <c r="R76" s="94"/>
      <c r="S76" s="95"/>
      <c r="V76" s="126"/>
      <c r="W76" s="126"/>
      <c r="X76" s="126"/>
      <c r="Y76" s="126"/>
      <c r="Z76" s="126"/>
      <c r="AA76" s="126"/>
      <c r="AB76" s="126"/>
      <c r="AC76" s="126"/>
      <c r="AD76" s="126"/>
      <c r="AE76" s="144">
        <f t="shared" si="60"/>
        <v>9.4636400000000016</v>
      </c>
      <c r="AF76" s="126"/>
      <c r="AG76" s="126"/>
      <c r="AH76" s="136"/>
      <c r="AI76" s="126"/>
      <c r="AJ76" s="126"/>
      <c r="AK76" s="126"/>
      <c r="AL76" s="126"/>
      <c r="AM76" s="126"/>
      <c r="AN76" s="126"/>
      <c r="AO76" s="148"/>
      <c r="AP76" s="148"/>
      <c r="AQ76" s="148"/>
      <c r="AR76" s="148"/>
      <c r="AS76" s="148"/>
      <c r="AT76" s="148"/>
    </row>
    <row r="77" spans="1:46" s="11" customFormat="1" ht="20.100000000000001" hidden="1" customHeight="1">
      <c r="E77" s="162"/>
      <c r="F77" s="162"/>
      <c r="G77" s="162"/>
      <c r="H77" s="162"/>
      <c r="I77" s="162"/>
      <c r="J77" s="162"/>
      <c r="K77" s="162"/>
      <c r="N77" s="5"/>
      <c r="O77" s="5"/>
      <c r="P77" s="5"/>
      <c r="V77" s="126"/>
      <c r="W77" s="126"/>
      <c r="X77" s="126"/>
      <c r="Y77" s="126"/>
      <c r="Z77" s="126"/>
      <c r="AA77" s="126"/>
      <c r="AB77" s="126"/>
      <c r="AC77" s="126"/>
      <c r="AD77" s="126"/>
      <c r="AE77" s="144">
        <f>IF(AH64=0,0,-1.19-10.16*Q39+1.012*AH64-0.052*AI64)</f>
        <v>0</v>
      </c>
      <c r="AF77" s="126"/>
      <c r="AG77" s="126"/>
      <c r="AH77" s="136"/>
      <c r="AI77" s="126"/>
      <c r="AJ77" s="126"/>
      <c r="AK77" s="126"/>
      <c r="AL77" s="126"/>
      <c r="AM77" s="126"/>
      <c r="AN77" s="126"/>
      <c r="AO77" s="148"/>
      <c r="AP77" s="148"/>
      <c r="AQ77" s="148"/>
      <c r="AR77" s="148"/>
      <c r="AS77" s="148"/>
      <c r="AT77" s="148"/>
    </row>
    <row r="78" spans="1:46" s="11" customFormat="1" hidden="1">
      <c r="E78" s="162"/>
      <c r="F78" s="162"/>
      <c r="G78" s="162"/>
      <c r="H78" s="162"/>
      <c r="I78" s="162"/>
      <c r="J78" s="162"/>
      <c r="K78" s="162"/>
      <c r="R78" s="87"/>
      <c r="V78" s="126"/>
      <c r="W78" s="126"/>
      <c r="X78" s="126"/>
      <c r="Y78" s="126"/>
      <c r="Z78" s="126"/>
      <c r="AA78" s="126"/>
      <c r="AB78" s="126"/>
      <c r="AC78" s="126"/>
      <c r="AD78" s="126"/>
      <c r="AE78" s="144">
        <f>IF(AH65=0,0,-1.19-10.16*Q40+1.012*AH65-0.052*AI65)</f>
        <v>0</v>
      </c>
      <c r="AF78" s="126"/>
      <c r="AG78" s="126"/>
      <c r="AH78" s="136"/>
      <c r="AI78" s="126"/>
      <c r="AJ78" s="126"/>
      <c r="AK78" s="126"/>
      <c r="AL78" s="126"/>
      <c r="AM78" s="126"/>
      <c r="AN78" s="126"/>
      <c r="AO78" s="148"/>
      <c r="AP78" s="148"/>
      <c r="AQ78" s="148"/>
      <c r="AR78" s="148"/>
      <c r="AS78" s="148"/>
      <c r="AT78" s="148"/>
    </row>
    <row r="79" spans="1:46" s="11" customFormat="1" hidden="1">
      <c r="E79" s="162"/>
      <c r="F79" s="162"/>
      <c r="G79" s="162"/>
      <c r="H79" s="162"/>
      <c r="I79" s="162"/>
      <c r="J79" s="162"/>
      <c r="K79" s="162"/>
      <c r="N79" s="4"/>
      <c r="O79" s="4"/>
      <c r="P79" s="4"/>
      <c r="R79" s="87"/>
      <c r="V79" s="126"/>
      <c r="W79" s="126"/>
      <c r="X79" s="126"/>
      <c r="Y79" s="126"/>
      <c r="Z79" s="126"/>
      <c r="AA79" s="126"/>
      <c r="AB79" s="126"/>
      <c r="AC79" s="126"/>
      <c r="AD79" s="126" t="s">
        <v>10</v>
      </c>
      <c r="AE79" s="136">
        <f>($AA$56/$AA$66*AE69)+($AA$57/$AA$66*AE70)+($AA$58/$AA$66*AE71)+($AA$59/$AA$66*AE72)+($AA$60/$AA$66*AE73)+($AA$61/$AA$66*AE74)+($AA$62/$AA$66*AE75)+($AA$63/$AA$66*AE76)+($AA$64/$AA$66*AE77)+($AA$65/$AA$66*AE78)</f>
        <v>8.6495109040000013</v>
      </c>
      <c r="AF79" s="126"/>
      <c r="AG79" s="126"/>
      <c r="AH79" s="138"/>
      <c r="AI79" s="126"/>
      <c r="AJ79" s="126"/>
      <c r="AK79" s="126"/>
      <c r="AL79" s="126"/>
      <c r="AM79" s="126"/>
      <c r="AN79" s="126"/>
      <c r="AO79" s="148"/>
      <c r="AP79" s="148"/>
      <c r="AQ79" s="148"/>
      <c r="AR79" s="148"/>
      <c r="AS79" s="148"/>
      <c r="AT79" s="148"/>
    </row>
    <row r="80" spans="1:46" s="11" customFormat="1" hidden="1">
      <c r="E80" s="162"/>
      <c r="F80" s="162"/>
      <c r="G80" s="162"/>
      <c r="H80" s="163"/>
      <c r="I80" s="162"/>
      <c r="J80" s="162"/>
      <c r="K80" s="162"/>
      <c r="N80" s="90"/>
      <c r="O80" s="90"/>
      <c r="P80" s="90"/>
      <c r="Q80" s="90"/>
      <c r="R80" s="151"/>
      <c r="S80" s="151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48"/>
      <c r="AP80" s="148"/>
      <c r="AQ80" s="148"/>
      <c r="AR80" s="148"/>
      <c r="AS80" s="148"/>
      <c r="AT80" s="148"/>
    </row>
    <row r="81" spans="2:46" s="11" customFormat="1" hidden="1">
      <c r="E81" s="162"/>
      <c r="F81" s="162"/>
      <c r="G81" s="162"/>
      <c r="H81" s="162"/>
      <c r="I81" s="162"/>
      <c r="J81" s="162"/>
      <c r="K81" s="162"/>
      <c r="N81" s="90"/>
      <c r="O81" s="90"/>
      <c r="P81" s="90"/>
      <c r="Q81" s="90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48"/>
      <c r="AP81" s="148"/>
      <c r="AQ81" s="148"/>
      <c r="AR81" s="148"/>
      <c r="AS81" s="148"/>
      <c r="AT81" s="148"/>
    </row>
    <row r="82" spans="2:46" s="11" customFormat="1" hidden="1">
      <c r="E82" s="162"/>
      <c r="F82" s="162"/>
      <c r="G82" s="162"/>
      <c r="H82" s="162"/>
      <c r="I82" s="162"/>
      <c r="J82" s="162"/>
      <c r="K82" s="162"/>
      <c r="N82" s="90"/>
      <c r="O82" s="90"/>
      <c r="P82" s="90"/>
      <c r="Q82" s="90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48"/>
      <c r="AP82" s="148"/>
      <c r="AQ82" s="148"/>
      <c r="AR82" s="148"/>
      <c r="AS82" s="148"/>
      <c r="AT82" s="148"/>
    </row>
    <row r="83" spans="2:46" s="11" customFormat="1" hidden="1">
      <c r="E83" s="162"/>
      <c r="F83" s="162"/>
      <c r="G83" s="162"/>
      <c r="H83" s="162"/>
      <c r="I83" s="162"/>
      <c r="J83" s="162"/>
      <c r="K83" s="162"/>
      <c r="N83" s="90"/>
      <c r="O83" s="90"/>
      <c r="P83" s="90"/>
      <c r="Q83" s="90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48"/>
      <c r="AP83" s="148"/>
      <c r="AQ83" s="148"/>
      <c r="AR83" s="148"/>
      <c r="AS83" s="148"/>
      <c r="AT83" s="148"/>
    </row>
    <row r="84" spans="2:46" s="11" customFormat="1" hidden="1">
      <c r="E84" s="162"/>
      <c r="F84" s="162"/>
      <c r="G84" s="162"/>
      <c r="H84" s="162"/>
      <c r="I84" s="162"/>
      <c r="J84" s="162"/>
      <c r="K84" s="162"/>
      <c r="N84" s="90"/>
      <c r="O84" s="90"/>
      <c r="P84" s="90"/>
      <c r="Q84" s="90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48"/>
      <c r="AP84" s="148"/>
      <c r="AQ84" s="148"/>
      <c r="AR84" s="148"/>
      <c r="AS84" s="148"/>
      <c r="AT84" s="148"/>
    </row>
    <row r="85" spans="2:46" s="11" customFormat="1" hidden="1">
      <c r="E85" s="162"/>
      <c r="F85" s="162"/>
      <c r="G85" s="162"/>
      <c r="H85" s="162"/>
      <c r="I85" s="162"/>
      <c r="J85" s="162"/>
      <c r="K85" s="162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48"/>
      <c r="AP85" s="148"/>
      <c r="AQ85" s="148"/>
      <c r="AR85" s="148"/>
      <c r="AS85" s="148"/>
      <c r="AT85" s="148"/>
    </row>
    <row r="86" spans="2:46" s="11" customFormat="1" hidden="1">
      <c r="E86" s="162"/>
      <c r="F86" s="162"/>
      <c r="G86" s="162"/>
      <c r="H86" s="162"/>
      <c r="I86" s="162"/>
      <c r="J86" s="162"/>
      <c r="K86" s="162"/>
      <c r="N86" s="4"/>
      <c r="O86" s="4"/>
      <c r="P86" s="4"/>
      <c r="Q86" s="4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48"/>
      <c r="AP86" s="148"/>
      <c r="AQ86" s="148"/>
      <c r="AR86" s="148"/>
      <c r="AS86" s="148"/>
      <c r="AT86" s="148"/>
    </row>
    <row r="87" spans="2:46" s="11" customFormat="1" hidden="1">
      <c r="E87" s="162"/>
      <c r="F87" s="162"/>
      <c r="G87" s="162"/>
      <c r="H87" s="162"/>
      <c r="I87" s="162"/>
      <c r="J87" s="162"/>
      <c r="K87" s="162"/>
      <c r="N87" s="5"/>
      <c r="O87" s="5"/>
      <c r="P87" s="5"/>
      <c r="Q87" s="5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48"/>
      <c r="AP87" s="148"/>
      <c r="AQ87" s="148"/>
      <c r="AR87" s="148"/>
      <c r="AS87" s="148"/>
      <c r="AT87" s="148"/>
    </row>
    <row r="88" spans="2:46" s="11" customFormat="1" hidden="1">
      <c r="B88" s="81" t="str">
        <f t="shared" ref="B88:B97" si="61">IF(B25=0,"",B25)</f>
        <v/>
      </c>
      <c r="C88" s="24" t="str">
        <f t="shared" ref="C88:C93" si="62">IF(D25&gt;0,0.86*J25,"")</f>
        <v/>
      </c>
      <c r="D88" s="24" t="str">
        <f t="shared" ref="D88:D93" si="63">IF(D25&gt;0,0.95*N25,"")</f>
        <v/>
      </c>
      <c r="E88" s="163" t="str">
        <f t="shared" ref="E88:E93" si="64">IF(D25&gt;0,IF(K25=0,0,IF(C25="Forage",3.38+0.883*K25-0.834*L25+0.0065*(L25^2)-0.197*M25,-1.19-10.16*Q25+1.012*K25-0.052*L25)),"")</f>
        <v/>
      </c>
      <c r="F88" s="163" t="str">
        <f t="shared" ref="F88:F93" si="65">IF(D25&gt;0,K25-E88,"")</f>
        <v/>
      </c>
      <c r="G88" s="163"/>
      <c r="H88" s="163" t="str">
        <f t="shared" ref="H88:H93" si="66">IF(D25&gt;0,$U$25*(G25-O25)+$V$25*O25*(1-EXP(-0.8188-1.1676*P25))/100,"")</f>
        <v/>
      </c>
      <c r="I88" s="163"/>
      <c r="J88" s="163"/>
      <c r="K88" s="163"/>
      <c r="N88" s="5"/>
      <c r="O88" s="5"/>
      <c r="P88" s="5"/>
      <c r="Q88" s="5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48"/>
      <c r="AP88" s="148"/>
      <c r="AQ88" s="148"/>
      <c r="AR88" s="148"/>
      <c r="AS88" s="148"/>
      <c r="AT88" s="148"/>
    </row>
    <row r="89" spans="2:46" s="11" customFormat="1" hidden="1">
      <c r="B89" s="81" t="str">
        <f t="shared" si="61"/>
        <v/>
      </c>
      <c r="C89" s="24" t="str">
        <f t="shared" si="62"/>
        <v/>
      </c>
      <c r="D89" s="24" t="str">
        <f t="shared" si="63"/>
        <v/>
      </c>
      <c r="E89" s="163" t="str">
        <f t="shared" si="64"/>
        <v/>
      </c>
      <c r="F89" s="163" t="str">
        <f t="shared" si="65"/>
        <v/>
      </c>
      <c r="G89" s="163"/>
      <c r="H89" s="163" t="str">
        <f t="shared" si="66"/>
        <v/>
      </c>
      <c r="I89" s="173"/>
      <c r="J89" s="163"/>
      <c r="K89" s="163"/>
      <c r="N89" s="5"/>
      <c r="O89" s="5"/>
      <c r="P89" s="5"/>
      <c r="Q89" s="5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48"/>
      <c r="AP89" s="148"/>
      <c r="AQ89" s="148"/>
      <c r="AR89" s="148"/>
      <c r="AS89" s="148"/>
      <c r="AT89" s="148"/>
    </row>
    <row r="90" spans="2:46" s="11" customFormat="1" hidden="1">
      <c r="B90" s="81" t="str">
        <f t="shared" si="61"/>
        <v/>
      </c>
      <c r="C90" s="24" t="str">
        <f t="shared" si="62"/>
        <v/>
      </c>
      <c r="D90" s="24" t="str">
        <f t="shared" si="63"/>
        <v/>
      </c>
      <c r="E90" s="163" t="str">
        <f t="shared" si="64"/>
        <v/>
      </c>
      <c r="F90" s="163" t="str">
        <f t="shared" si="65"/>
        <v/>
      </c>
      <c r="G90" s="163"/>
      <c r="H90" s="163" t="str">
        <f t="shared" si="66"/>
        <v/>
      </c>
      <c r="I90" s="163"/>
      <c r="J90" s="163"/>
      <c r="K90" s="163"/>
      <c r="N90" s="5"/>
      <c r="O90" s="5"/>
      <c r="P90" s="5"/>
      <c r="Q90" s="5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48"/>
      <c r="AP90" s="148"/>
      <c r="AQ90" s="148"/>
      <c r="AR90" s="148"/>
      <c r="AS90" s="148"/>
      <c r="AT90" s="148"/>
    </row>
    <row r="91" spans="2:46" s="11" customFormat="1" hidden="1">
      <c r="B91" s="81" t="str">
        <f t="shared" si="61"/>
        <v/>
      </c>
      <c r="C91" s="24" t="str">
        <f>IF(D28&gt;0,0.86*J28,"")</f>
        <v/>
      </c>
      <c r="D91" s="24" t="str">
        <f>IF(D28&gt;0,0.95*N28,"")</f>
        <v/>
      </c>
      <c r="E91" s="163" t="str">
        <f>IF(D28&gt;0,IF(K28=0,0,IF(C28="Forage",3.38+0.883*K28-0.834*L28+0.0065*(L28^2)-0.197*M28,-1.19-10.16*Q28+1.012*K28-0.052*L28)),"")</f>
        <v/>
      </c>
      <c r="F91" s="163" t="str">
        <f>IF(D28&gt;0,K28-E91,"")</f>
        <v/>
      </c>
      <c r="G91" s="163"/>
      <c r="H91" s="163" t="str">
        <f>IF(D28&gt;0,$U$25*(G28-O28)+$V$25*O28*(1-EXP(-0.8188-1.1676*P28))/100,"")</f>
        <v/>
      </c>
      <c r="I91" s="173"/>
      <c r="J91" s="163"/>
      <c r="K91" s="163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48"/>
      <c r="AP91" s="148"/>
      <c r="AQ91" s="148"/>
      <c r="AR91" s="148"/>
      <c r="AS91" s="148"/>
      <c r="AT91" s="148"/>
    </row>
    <row r="92" spans="2:46" s="11" customFormat="1" hidden="1">
      <c r="B92" s="81" t="str">
        <f t="shared" si="61"/>
        <v/>
      </c>
      <c r="C92" s="24" t="str">
        <f>IF(D29&gt;0,0.86*J29,"")</f>
        <v/>
      </c>
      <c r="D92" s="24" t="str">
        <f>IF(D29&gt;0,0.95*N29,"")</f>
        <v/>
      </c>
      <c r="E92" s="163" t="str">
        <f>IF(D29&gt;0,IF(K29=0,0,IF(C29="Forage",3.38+0.883*K29-0.834*L29+0.0065*(L29^2)-0.197*M29,-1.19-10.16*Q29+1.012*K29-0.052*L29)),"")</f>
        <v/>
      </c>
      <c r="F92" s="163" t="str">
        <f>IF(D29&gt;0,K29-E92,"")</f>
        <v/>
      </c>
      <c r="G92" s="163"/>
      <c r="H92" s="163" t="str">
        <f>IF(D29&gt;0,$U$25*(G29-O29)+$V$25*O29*(1-EXP(-0.8188-1.1676*P29))/100,"")</f>
        <v/>
      </c>
      <c r="I92" s="163"/>
      <c r="J92" s="163"/>
      <c r="K92" s="163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48"/>
      <c r="AP92" s="148"/>
      <c r="AQ92" s="148"/>
      <c r="AR92" s="148"/>
      <c r="AS92" s="148"/>
      <c r="AT92" s="148"/>
    </row>
    <row r="93" spans="2:46" s="11" customFormat="1" hidden="1">
      <c r="B93" s="81" t="str">
        <f t="shared" si="61"/>
        <v>Silagem de milho</v>
      </c>
      <c r="C93" s="24">
        <f t="shared" si="62"/>
        <v>2.7176</v>
      </c>
      <c r="D93" s="24">
        <f t="shared" si="63"/>
        <v>30.922499999999996</v>
      </c>
      <c r="E93" s="163">
        <f t="shared" si="64"/>
        <v>31.951726650000005</v>
      </c>
      <c r="F93" s="163">
        <f t="shared" si="65"/>
        <v>19.818273349999998</v>
      </c>
      <c r="G93" s="163"/>
      <c r="H93" s="163">
        <f t="shared" si="66"/>
        <v>5.8140000000000001</v>
      </c>
      <c r="I93" s="173"/>
      <c r="J93" s="163"/>
      <c r="K93" s="163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48"/>
      <c r="AP93" s="148"/>
      <c r="AQ93" s="148"/>
      <c r="AR93" s="148"/>
      <c r="AS93" s="148"/>
      <c r="AT93" s="148"/>
    </row>
    <row r="94" spans="2:46" s="11" customFormat="1" hidden="1">
      <c r="B94" s="36" t="s">
        <v>104</v>
      </c>
      <c r="C94" s="24">
        <f>0.86*J36</f>
        <v>2.7176</v>
      </c>
      <c r="D94" s="24">
        <f>0.95*N36</f>
        <v>30.922499999999996</v>
      </c>
      <c r="E94" s="163">
        <f>3.38+0.883*K36-0.834*L36+0.0065*(L36^2)-0.197*M36</f>
        <v>31.951726650000005</v>
      </c>
      <c r="F94" s="163">
        <f>K36-E94</f>
        <v>19.818273349999998</v>
      </c>
      <c r="G94" s="163"/>
      <c r="H94" s="163">
        <f>$U$25*(G36-O36)+$V$25*O36*(1-EXP(-0.8188-1.1676*P36))/100</f>
        <v>5.8140000000000001</v>
      </c>
      <c r="I94" s="163"/>
      <c r="J94" s="163"/>
      <c r="K94" s="163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48"/>
      <c r="AP94" s="148"/>
      <c r="AQ94" s="148"/>
      <c r="AR94" s="148"/>
      <c r="AS94" s="148"/>
      <c r="AT94" s="148"/>
    </row>
    <row r="95" spans="2:46" s="11" customFormat="1" hidden="1">
      <c r="B95" s="82" t="str">
        <f>C37</f>
        <v>Concentrate:</v>
      </c>
      <c r="C95" s="24">
        <f>0.86*J37</f>
        <v>3.1733122800000007</v>
      </c>
      <c r="D95" s="24">
        <f>0.95*N37</f>
        <v>63.975980150000012</v>
      </c>
      <c r="E95" s="163">
        <f>AE79</f>
        <v>8.6495109040000013</v>
      </c>
      <c r="F95" s="163">
        <f>K37-E95</f>
        <v>1.2372100959999983</v>
      </c>
      <c r="G95" s="163"/>
      <c r="H95" s="163">
        <f>$U$25*(G37-O37)+$V$25*O37*(1-EXP(-0.8188-1.1676*P37))/100</f>
        <v>14.909596399999998</v>
      </c>
      <c r="I95" s="163"/>
      <c r="J95" s="163"/>
      <c r="K95" s="163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48"/>
      <c r="AP95" s="148"/>
      <c r="AQ95" s="148"/>
      <c r="AR95" s="148"/>
      <c r="AS95" s="148"/>
      <c r="AT95" s="148"/>
    </row>
    <row r="96" spans="2:46" s="11" customFormat="1" hidden="1">
      <c r="B96" s="81" t="str">
        <f t="shared" si="61"/>
        <v>Urea/AS</v>
      </c>
      <c r="C96" s="24">
        <f>IF(D33&gt;0,0.86*J39,"")</f>
        <v>0</v>
      </c>
      <c r="D96" s="24">
        <f>IF(D33&gt;0,0.95*N39,"")</f>
        <v>0</v>
      </c>
      <c r="E96" s="163">
        <f>IF(D33&gt;0,IF(K39=0,0,IF(C33="Forage",3.38+0.883*K39-0.834*L39+0.0065*(L39^2)-0.197*M39,-1.19-10.16*Q39+1.012*K39-0.052*L39)),"")</f>
        <v>0</v>
      </c>
      <c r="F96" s="163">
        <f>IF(D33&gt;0,K39-E96,"")</f>
        <v>0</v>
      </c>
      <c r="G96" s="163"/>
      <c r="H96" s="163">
        <f>IF(D33&gt;0,$U$25*(G33-O39)+$V$25*O39*(1-EXP(-0.8188-1.1676*P39))/100,"")</f>
        <v>247</v>
      </c>
      <c r="I96" s="163"/>
      <c r="J96" s="163"/>
      <c r="K96" s="163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48"/>
      <c r="AP96" s="148"/>
      <c r="AQ96" s="148"/>
      <c r="AR96" s="148"/>
      <c r="AS96" s="148"/>
      <c r="AT96" s="148"/>
    </row>
    <row r="97" spans="2:46" s="11" customFormat="1" hidden="1">
      <c r="B97" s="81" t="str">
        <f t="shared" si="61"/>
        <v>Mineral mixture</v>
      </c>
      <c r="C97" s="24">
        <f>IF(D34&gt;0,0.86*J40,"")</f>
        <v>0</v>
      </c>
      <c r="D97" s="24">
        <f>IF(D34&gt;0,0.95*N40,"")</f>
        <v>0</v>
      </c>
      <c r="E97" s="163">
        <f>IF(D34&gt;0,IF(K40=0,0,IF(C34="Forage",3.38+0.883*K40-0.834*L40+0.0065*(L40^2)-0.197*M40,-1.19-10.16*Q40+1.012*K40-0.052*L40)),"")</f>
        <v>0</v>
      </c>
      <c r="F97" s="163">
        <f>IF(D34&gt;0,K40-E97,"")</f>
        <v>0</v>
      </c>
      <c r="G97" s="163"/>
      <c r="H97" s="163">
        <f>IF(D34&gt;0,$U$25*(G40-O40)+$V$25*O40*(1-EXP(-0.8188-1.1676*P40))/100,"")</f>
        <v>0</v>
      </c>
      <c r="I97" s="173"/>
      <c r="J97" s="163"/>
      <c r="K97" s="163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48"/>
      <c r="AP97" s="148"/>
      <c r="AQ97" s="148"/>
      <c r="AR97" s="148"/>
      <c r="AS97" s="148"/>
      <c r="AT97" s="148"/>
    </row>
    <row r="98" spans="2:46" s="11" customFormat="1" hidden="1">
      <c r="B98" s="83"/>
      <c r="C98" s="24"/>
      <c r="D98" s="24"/>
      <c r="E98" s="163"/>
      <c r="F98" s="163"/>
      <c r="G98" s="163"/>
      <c r="H98" s="163"/>
      <c r="I98" s="163"/>
      <c r="J98" s="163"/>
      <c r="K98" s="163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48"/>
      <c r="AP98" s="148"/>
      <c r="AQ98" s="148"/>
      <c r="AR98" s="148"/>
      <c r="AS98" s="148"/>
      <c r="AT98" s="148"/>
    </row>
    <row r="99" spans="2:46" s="11" customFormat="1" hidden="1">
      <c r="E99" s="162"/>
      <c r="F99" s="162"/>
      <c r="G99" s="162"/>
      <c r="H99" s="162"/>
      <c r="I99" s="162"/>
      <c r="J99" s="162"/>
      <c r="K99" s="162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48"/>
      <c r="AP99" s="148"/>
      <c r="AQ99" s="148"/>
      <c r="AR99" s="148"/>
      <c r="AS99" s="148"/>
      <c r="AT99" s="148"/>
    </row>
    <row r="100" spans="2:46" s="11" customFormat="1" hidden="1">
      <c r="E100" s="162"/>
      <c r="F100" s="162"/>
      <c r="G100" s="162"/>
      <c r="H100" s="162"/>
      <c r="I100" s="162"/>
      <c r="J100" s="162"/>
      <c r="K100" s="162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48"/>
      <c r="AP100" s="148"/>
      <c r="AQ100" s="148"/>
      <c r="AR100" s="148"/>
      <c r="AS100" s="148"/>
      <c r="AT100" s="148"/>
    </row>
    <row r="101" spans="2:46" s="11" customFormat="1" hidden="1">
      <c r="E101" s="162"/>
      <c r="F101" s="162"/>
      <c r="G101" s="162"/>
      <c r="H101" s="162"/>
      <c r="I101" s="162"/>
      <c r="J101" s="162"/>
      <c r="K101" s="162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48"/>
      <c r="AP101" s="148"/>
      <c r="AQ101" s="148"/>
      <c r="AR101" s="148"/>
      <c r="AS101" s="148"/>
      <c r="AT101" s="148"/>
    </row>
    <row r="102" spans="2:46" s="11" customFormat="1" hidden="1">
      <c r="E102" s="162"/>
      <c r="F102" s="162"/>
      <c r="G102" s="162"/>
      <c r="H102" s="162"/>
      <c r="I102" s="162"/>
      <c r="J102" s="162"/>
      <c r="K102" s="162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48"/>
      <c r="AP102" s="148"/>
      <c r="AQ102" s="148"/>
      <c r="AR102" s="148"/>
      <c r="AS102" s="148"/>
      <c r="AT102" s="148"/>
    </row>
    <row r="103" spans="2:46" s="11" customFormat="1" hidden="1">
      <c r="E103" s="162"/>
      <c r="F103" s="162"/>
      <c r="G103" s="162"/>
      <c r="H103" s="162"/>
      <c r="I103" s="162"/>
      <c r="J103" s="162"/>
      <c r="K103" s="162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48"/>
      <c r="AP103" s="148"/>
      <c r="AQ103" s="148"/>
      <c r="AR103" s="148"/>
      <c r="AS103" s="148"/>
      <c r="AT103" s="148"/>
    </row>
    <row r="104" spans="2:46" s="12" customFormat="1" hidden="1">
      <c r="E104" s="161"/>
      <c r="F104" s="161"/>
      <c r="G104" s="161"/>
      <c r="H104" s="161"/>
      <c r="I104" s="161"/>
      <c r="J104" s="161"/>
      <c r="K104" s="161"/>
      <c r="T104" s="11"/>
      <c r="U104" s="11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49"/>
      <c r="AP104" s="149"/>
      <c r="AQ104" s="149"/>
      <c r="AR104" s="149"/>
      <c r="AS104" s="149"/>
      <c r="AT104" s="149"/>
    </row>
    <row r="105" spans="2:46" s="12" customFormat="1" hidden="1">
      <c r="E105" s="161"/>
      <c r="F105" s="161"/>
      <c r="G105" s="161"/>
      <c r="H105" s="161"/>
      <c r="I105" s="161"/>
      <c r="J105" s="161"/>
      <c r="K105" s="161"/>
      <c r="T105" s="11"/>
      <c r="U105" s="11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49"/>
      <c r="AP105" s="149"/>
      <c r="AQ105" s="149"/>
      <c r="AR105" s="149"/>
      <c r="AS105" s="149"/>
      <c r="AT105" s="149"/>
    </row>
    <row r="106" spans="2:46" s="12" customFormat="1" hidden="1">
      <c r="E106" s="161"/>
      <c r="F106" s="161"/>
      <c r="G106" s="161"/>
      <c r="H106" s="161"/>
      <c r="I106" s="161"/>
      <c r="J106" s="161"/>
      <c r="K106" s="161"/>
      <c r="T106" s="11"/>
      <c r="U106" s="11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49"/>
      <c r="AP106" s="149"/>
      <c r="AQ106" s="149"/>
      <c r="AR106" s="149"/>
      <c r="AS106" s="149"/>
      <c r="AT106" s="149"/>
    </row>
    <row r="107" spans="2:46" s="12" customFormat="1">
      <c r="E107" s="161"/>
      <c r="F107" s="161"/>
      <c r="G107" s="161"/>
      <c r="H107" s="161"/>
      <c r="I107" s="161"/>
      <c r="J107" s="161"/>
      <c r="K107" s="161"/>
      <c r="T107" s="11"/>
      <c r="U107" s="11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49"/>
      <c r="AP107" s="149"/>
      <c r="AQ107" s="149"/>
      <c r="AR107" s="149"/>
      <c r="AS107" s="149"/>
      <c r="AT107" s="149"/>
    </row>
    <row r="108" spans="2:46" s="12" customFormat="1">
      <c r="E108" s="161"/>
      <c r="F108" s="161"/>
      <c r="G108" s="161"/>
      <c r="H108" s="161"/>
      <c r="I108" s="161"/>
      <c r="J108" s="161"/>
      <c r="K108" s="161"/>
      <c r="T108" s="11"/>
      <c r="U108" s="11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49"/>
      <c r="AP108" s="149"/>
      <c r="AQ108" s="149"/>
      <c r="AR108" s="149"/>
      <c r="AS108" s="149"/>
      <c r="AT108" s="149"/>
    </row>
    <row r="109" spans="2:46" s="12" customFormat="1">
      <c r="E109" s="161"/>
      <c r="F109" s="161"/>
      <c r="G109" s="161"/>
      <c r="H109" s="161"/>
      <c r="I109" s="161"/>
      <c r="J109" s="161"/>
      <c r="K109" s="161"/>
      <c r="T109" s="11"/>
      <c r="U109" s="11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49"/>
      <c r="AP109" s="149"/>
      <c r="AQ109" s="149"/>
      <c r="AR109" s="149"/>
      <c r="AS109" s="149"/>
      <c r="AT109" s="149"/>
    </row>
    <row r="110" spans="2:46" s="12" customFormat="1">
      <c r="T110" s="11"/>
      <c r="U110" s="11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49"/>
      <c r="AP110" s="149"/>
      <c r="AQ110" s="149"/>
      <c r="AR110" s="149"/>
      <c r="AS110" s="149"/>
      <c r="AT110" s="149"/>
    </row>
    <row r="111" spans="2:46" s="12" customFormat="1">
      <c r="T111" s="11"/>
      <c r="U111" s="11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49"/>
      <c r="AP111" s="149"/>
      <c r="AQ111" s="149"/>
      <c r="AR111" s="149"/>
      <c r="AS111" s="149"/>
      <c r="AT111" s="149"/>
    </row>
    <row r="112" spans="2:46" s="12" customFormat="1">
      <c r="T112" s="11"/>
      <c r="U112" s="11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49"/>
      <c r="AP112" s="149"/>
      <c r="AQ112" s="149"/>
      <c r="AR112" s="149"/>
      <c r="AS112" s="149"/>
      <c r="AT112" s="149"/>
    </row>
    <row r="113" spans="20:46" s="12" customFormat="1">
      <c r="T113" s="11"/>
      <c r="U113" s="11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49"/>
      <c r="AP113" s="149"/>
      <c r="AQ113" s="149"/>
      <c r="AR113" s="149"/>
      <c r="AS113" s="149"/>
      <c r="AT113" s="149"/>
    </row>
    <row r="114" spans="20:46" s="12" customFormat="1">
      <c r="T114" s="11"/>
      <c r="U114" s="11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49"/>
      <c r="AP114" s="149"/>
      <c r="AQ114" s="149"/>
      <c r="AR114" s="149"/>
      <c r="AS114" s="149"/>
      <c r="AT114" s="149"/>
    </row>
    <row r="115" spans="20:46" s="12" customFormat="1">
      <c r="T115" s="11"/>
      <c r="U115" s="11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49"/>
      <c r="AP115" s="149"/>
      <c r="AQ115" s="149"/>
      <c r="AR115" s="149"/>
      <c r="AS115" s="149"/>
      <c r="AT115" s="149"/>
    </row>
    <row r="116" spans="20:46" s="12" customFormat="1">
      <c r="T116" s="11"/>
      <c r="U116" s="11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49"/>
      <c r="AP116" s="149"/>
      <c r="AQ116" s="149"/>
      <c r="AR116" s="149"/>
      <c r="AS116" s="149"/>
      <c r="AT116" s="149"/>
    </row>
    <row r="117" spans="20:46" s="12" customFormat="1">
      <c r="T117" s="11"/>
      <c r="U117" s="11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49"/>
      <c r="AP117" s="149"/>
      <c r="AQ117" s="149"/>
      <c r="AR117" s="149"/>
      <c r="AS117" s="149"/>
      <c r="AT117" s="149"/>
    </row>
    <row r="118" spans="20:46" s="12" customFormat="1"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49"/>
      <c r="AP118" s="149"/>
      <c r="AQ118" s="149"/>
      <c r="AR118" s="149"/>
      <c r="AS118" s="149"/>
      <c r="AT118" s="149"/>
    </row>
    <row r="119" spans="20:46" s="12" customFormat="1"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49"/>
      <c r="AP119" s="149"/>
      <c r="AQ119" s="149"/>
      <c r="AR119" s="149"/>
      <c r="AS119" s="149"/>
      <c r="AT119" s="149"/>
    </row>
    <row r="120" spans="20:46" s="12" customFormat="1"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49"/>
      <c r="AP120" s="149"/>
      <c r="AQ120" s="149"/>
      <c r="AR120" s="149"/>
      <c r="AS120" s="149"/>
      <c r="AT120" s="149"/>
    </row>
    <row r="121" spans="20:46" s="12" customFormat="1"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49"/>
      <c r="AP121" s="149"/>
      <c r="AQ121" s="149"/>
      <c r="AR121" s="149"/>
      <c r="AS121" s="149"/>
      <c r="AT121" s="149"/>
    </row>
    <row r="122" spans="20:46" s="12" customFormat="1"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49"/>
      <c r="AP122" s="149"/>
      <c r="AQ122" s="149"/>
      <c r="AR122" s="149"/>
      <c r="AS122" s="149"/>
      <c r="AT122" s="149"/>
    </row>
    <row r="123" spans="20:46" s="12" customFormat="1"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49"/>
      <c r="AP123" s="149"/>
      <c r="AQ123" s="149"/>
      <c r="AR123" s="149"/>
      <c r="AS123" s="149"/>
      <c r="AT123" s="149"/>
    </row>
    <row r="124" spans="20:46" s="12" customFormat="1"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49"/>
      <c r="AP124" s="149"/>
      <c r="AQ124" s="149"/>
      <c r="AR124" s="149"/>
      <c r="AS124" s="149"/>
      <c r="AT124" s="149"/>
    </row>
    <row r="125" spans="20:46" s="12" customFormat="1"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49"/>
      <c r="AP125" s="149"/>
      <c r="AQ125" s="149"/>
      <c r="AR125" s="149"/>
      <c r="AS125" s="149"/>
      <c r="AT125" s="149"/>
    </row>
    <row r="126" spans="20:46" s="12" customFormat="1"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49"/>
      <c r="AP126" s="149"/>
      <c r="AQ126" s="149"/>
      <c r="AR126" s="149"/>
      <c r="AS126" s="149"/>
      <c r="AT126" s="149"/>
    </row>
    <row r="127" spans="20:46" s="12" customFormat="1"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49"/>
      <c r="AP127" s="149"/>
      <c r="AQ127" s="149"/>
      <c r="AR127" s="149"/>
      <c r="AS127" s="149"/>
      <c r="AT127" s="149"/>
    </row>
    <row r="128" spans="20:46" s="12" customFormat="1"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49"/>
      <c r="AP128" s="149"/>
      <c r="AQ128" s="149"/>
      <c r="AR128" s="149"/>
      <c r="AS128" s="149"/>
      <c r="AT128" s="149"/>
    </row>
    <row r="129" spans="22:46" s="12" customFormat="1"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49"/>
      <c r="AP129" s="149"/>
      <c r="AQ129" s="149"/>
      <c r="AR129" s="149"/>
      <c r="AS129" s="149"/>
      <c r="AT129" s="149"/>
    </row>
    <row r="130" spans="22:46" s="12" customFormat="1"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49"/>
      <c r="AP130" s="149"/>
      <c r="AQ130" s="149"/>
      <c r="AR130" s="149"/>
      <c r="AS130" s="149"/>
      <c r="AT130" s="149"/>
    </row>
    <row r="131" spans="22:46" s="12" customFormat="1"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49"/>
      <c r="AP131" s="149"/>
      <c r="AQ131" s="149"/>
      <c r="AR131" s="149"/>
      <c r="AS131" s="149"/>
      <c r="AT131" s="149"/>
    </row>
    <row r="132" spans="22:46" s="12" customFormat="1"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49"/>
      <c r="AP132" s="149"/>
      <c r="AQ132" s="149"/>
      <c r="AR132" s="149"/>
      <c r="AS132" s="149"/>
      <c r="AT132" s="149"/>
    </row>
    <row r="133" spans="22:46" s="12" customFormat="1"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49"/>
      <c r="AP133" s="149"/>
      <c r="AQ133" s="149"/>
      <c r="AR133" s="149"/>
      <c r="AS133" s="149"/>
      <c r="AT133" s="149"/>
    </row>
    <row r="134" spans="22:46" s="12" customFormat="1"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49"/>
      <c r="AP134" s="149"/>
      <c r="AQ134" s="149"/>
      <c r="AR134" s="149"/>
      <c r="AS134" s="149"/>
      <c r="AT134" s="149"/>
    </row>
    <row r="135" spans="22:46" s="12" customFormat="1"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49"/>
      <c r="AP135" s="149"/>
      <c r="AQ135" s="149"/>
      <c r="AR135" s="149"/>
      <c r="AS135" s="149"/>
      <c r="AT135" s="149"/>
    </row>
    <row r="136" spans="22:46" s="12" customFormat="1"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49"/>
      <c r="AP136" s="149"/>
      <c r="AQ136" s="149"/>
      <c r="AR136" s="149"/>
      <c r="AS136" s="149"/>
      <c r="AT136" s="149"/>
    </row>
    <row r="137" spans="22:46" s="12" customFormat="1"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49"/>
      <c r="AP137" s="149"/>
      <c r="AQ137" s="149"/>
      <c r="AR137" s="149"/>
      <c r="AS137" s="149"/>
      <c r="AT137" s="149"/>
    </row>
    <row r="138" spans="22:46" s="12" customFormat="1"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49"/>
      <c r="AP138" s="149"/>
      <c r="AQ138" s="149"/>
      <c r="AR138" s="149"/>
      <c r="AS138" s="149"/>
      <c r="AT138" s="149"/>
    </row>
    <row r="139" spans="22:46" s="12" customFormat="1"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49"/>
      <c r="AP139" s="149"/>
      <c r="AQ139" s="149"/>
      <c r="AR139" s="149"/>
      <c r="AS139" s="149"/>
      <c r="AT139" s="149"/>
    </row>
    <row r="140" spans="22:46" s="12" customFormat="1"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49"/>
      <c r="AP140" s="149"/>
      <c r="AQ140" s="149"/>
      <c r="AR140" s="149"/>
      <c r="AS140" s="149"/>
      <c r="AT140" s="149"/>
    </row>
    <row r="141" spans="22:46" s="12" customFormat="1"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49"/>
      <c r="AP141" s="149"/>
      <c r="AQ141" s="149"/>
      <c r="AR141" s="149"/>
      <c r="AS141" s="149"/>
      <c r="AT141" s="149"/>
    </row>
    <row r="142" spans="22:46" s="12" customFormat="1"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49"/>
      <c r="AP142" s="149"/>
      <c r="AQ142" s="149"/>
      <c r="AR142" s="149"/>
      <c r="AS142" s="149"/>
      <c r="AT142" s="149"/>
    </row>
    <row r="143" spans="22:46" s="12" customFormat="1"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49"/>
      <c r="AP143" s="149"/>
      <c r="AQ143" s="149"/>
      <c r="AR143" s="149"/>
      <c r="AS143" s="149"/>
      <c r="AT143" s="149"/>
    </row>
    <row r="144" spans="22:46" s="12" customFormat="1"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49"/>
      <c r="AP144" s="149"/>
      <c r="AQ144" s="149"/>
      <c r="AR144" s="149"/>
      <c r="AS144" s="149"/>
      <c r="AT144" s="149"/>
    </row>
    <row r="145" spans="22:46" s="12" customFormat="1"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49"/>
      <c r="AP145" s="149"/>
      <c r="AQ145" s="149"/>
      <c r="AR145" s="149"/>
      <c r="AS145" s="149"/>
      <c r="AT145" s="149"/>
    </row>
    <row r="146" spans="22:46" s="12" customFormat="1"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49"/>
      <c r="AP146" s="149"/>
      <c r="AQ146" s="149"/>
      <c r="AR146" s="149"/>
      <c r="AS146" s="149"/>
      <c r="AT146" s="149"/>
    </row>
    <row r="147" spans="22:46" s="12" customFormat="1"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49"/>
      <c r="AP147" s="149"/>
      <c r="AQ147" s="149"/>
      <c r="AR147" s="149"/>
      <c r="AS147" s="149"/>
      <c r="AT147" s="149"/>
    </row>
    <row r="148" spans="22:46" s="12" customFormat="1"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49"/>
      <c r="AP148" s="149"/>
      <c r="AQ148" s="149"/>
      <c r="AR148" s="149"/>
      <c r="AS148" s="149"/>
      <c r="AT148" s="149"/>
    </row>
    <row r="149" spans="22:46" s="12" customFormat="1"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49"/>
      <c r="AP149" s="149"/>
      <c r="AQ149" s="149"/>
      <c r="AR149" s="149"/>
      <c r="AS149" s="149"/>
      <c r="AT149" s="149"/>
    </row>
    <row r="150" spans="22:46" s="12" customFormat="1"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49"/>
      <c r="AP150" s="149"/>
      <c r="AQ150" s="149"/>
      <c r="AR150" s="149"/>
      <c r="AS150" s="149"/>
      <c r="AT150" s="149"/>
    </row>
    <row r="151" spans="22:46" s="12" customFormat="1"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49"/>
      <c r="AP151" s="149"/>
      <c r="AQ151" s="149"/>
      <c r="AR151" s="149"/>
      <c r="AS151" s="149"/>
      <c r="AT151" s="149"/>
    </row>
    <row r="152" spans="22:46" s="12" customFormat="1"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49"/>
      <c r="AP152" s="149"/>
      <c r="AQ152" s="149"/>
      <c r="AR152" s="149"/>
      <c r="AS152" s="149"/>
      <c r="AT152" s="149"/>
    </row>
    <row r="153" spans="22:46" s="12" customFormat="1"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49"/>
      <c r="AP153" s="149"/>
      <c r="AQ153" s="149"/>
      <c r="AR153" s="149"/>
      <c r="AS153" s="149"/>
      <c r="AT153" s="149"/>
    </row>
    <row r="154" spans="22:46" s="12" customFormat="1"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49"/>
      <c r="AP154" s="149"/>
      <c r="AQ154" s="149"/>
      <c r="AR154" s="149"/>
      <c r="AS154" s="149"/>
      <c r="AT154" s="149"/>
    </row>
    <row r="155" spans="22:46" s="12" customFormat="1"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49"/>
      <c r="AP155" s="149"/>
      <c r="AQ155" s="149"/>
      <c r="AR155" s="149"/>
      <c r="AS155" s="149"/>
      <c r="AT155" s="149"/>
    </row>
    <row r="156" spans="22:46" s="12" customFormat="1"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49"/>
      <c r="AP156" s="149"/>
      <c r="AQ156" s="149"/>
      <c r="AR156" s="149"/>
      <c r="AS156" s="149"/>
      <c r="AT156" s="149"/>
    </row>
    <row r="157" spans="22:46" s="12" customFormat="1"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49"/>
      <c r="AP157" s="149"/>
      <c r="AQ157" s="149"/>
      <c r="AR157" s="149"/>
      <c r="AS157" s="149"/>
      <c r="AT157" s="149"/>
    </row>
    <row r="158" spans="22:46" s="12" customFormat="1"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49"/>
      <c r="AP158" s="149"/>
      <c r="AQ158" s="149"/>
      <c r="AR158" s="149"/>
      <c r="AS158" s="149"/>
      <c r="AT158" s="149"/>
    </row>
    <row r="159" spans="22:46" s="12" customFormat="1"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49"/>
      <c r="AP159" s="149"/>
      <c r="AQ159" s="149"/>
      <c r="AR159" s="149"/>
      <c r="AS159" s="149"/>
      <c r="AT159" s="149"/>
    </row>
    <row r="160" spans="22:46" s="12" customFormat="1"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49"/>
      <c r="AP160" s="149"/>
      <c r="AQ160" s="149"/>
      <c r="AR160" s="149"/>
      <c r="AS160" s="149"/>
      <c r="AT160" s="149"/>
    </row>
    <row r="161" spans="22:46" s="12" customFormat="1"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49"/>
      <c r="AP161" s="149"/>
      <c r="AQ161" s="149"/>
      <c r="AR161" s="149"/>
      <c r="AS161" s="149"/>
      <c r="AT161" s="149"/>
    </row>
    <row r="162" spans="22:46" s="12" customFormat="1"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49"/>
      <c r="AP162" s="149"/>
      <c r="AQ162" s="149"/>
      <c r="AR162" s="149"/>
      <c r="AS162" s="149"/>
      <c r="AT162" s="149"/>
    </row>
    <row r="163" spans="22:46" s="12" customFormat="1"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49"/>
      <c r="AP163" s="149"/>
      <c r="AQ163" s="149"/>
      <c r="AR163" s="149"/>
      <c r="AS163" s="149"/>
      <c r="AT163" s="149"/>
    </row>
    <row r="164" spans="22:46" s="12" customFormat="1"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49"/>
      <c r="AP164" s="149"/>
      <c r="AQ164" s="149"/>
      <c r="AR164" s="149"/>
      <c r="AS164" s="149"/>
      <c r="AT164" s="149"/>
    </row>
    <row r="165" spans="22:46" s="12" customFormat="1"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49"/>
      <c r="AP165" s="149"/>
      <c r="AQ165" s="149"/>
      <c r="AR165" s="149"/>
      <c r="AS165" s="149"/>
      <c r="AT165" s="149"/>
    </row>
    <row r="166" spans="22:46" s="12" customFormat="1"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49"/>
      <c r="AP166" s="149"/>
      <c r="AQ166" s="149"/>
      <c r="AR166" s="149"/>
      <c r="AS166" s="149"/>
      <c r="AT166" s="149"/>
    </row>
    <row r="167" spans="22:46" s="12" customFormat="1"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49"/>
      <c r="AP167" s="149"/>
      <c r="AQ167" s="149"/>
      <c r="AR167" s="149"/>
      <c r="AS167" s="149"/>
      <c r="AT167" s="149"/>
    </row>
    <row r="168" spans="22:46" s="12" customFormat="1"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49"/>
      <c r="AP168" s="149"/>
      <c r="AQ168" s="149"/>
      <c r="AR168" s="149"/>
      <c r="AS168" s="149"/>
      <c r="AT168" s="149"/>
    </row>
    <row r="169" spans="22:46" s="12" customFormat="1"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49"/>
      <c r="AP169" s="149"/>
      <c r="AQ169" s="149"/>
      <c r="AR169" s="149"/>
      <c r="AS169" s="149"/>
      <c r="AT169" s="149"/>
    </row>
    <row r="170" spans="22:46" s="12" customFormat="1"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49"/>
      <c r="AP170" s="149"/>
      <c r="AQ170" s="149"/>
      <c r="AR170" s="149"/>
      <c r="AS170" s="149"/>
      <c r="AT170" s="149"/>
    </row>
    <row r="171" spans="22:46" s="12" customFormat="1"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49"/>
      <c r="AP171" s="149"/>
      <c r="AQ171" s="149"/>
      <c r="AR171" s="149"/>
      <c r="AS171" s="149"/>
      <c r="AT171" s="149"/>
    </row>
    <row r="172" spans="22:46" s="12" customFormat="1"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49"/>
      <c r="AP172" s="149"/>
      <c r="AQ172" s="149"/>
      <c r="AR172" s="149"/>
      <c r="AS172" s="149"/>
      <c r="AT172" s="149"/>
    </row>
    <row r="173" spans="22:46" s="12" customFormat="1"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49"/>
      <c r="AP173" s="149"/>
      <c r="AQ173" s="149"/>
      <c r="AR173" s="149"/>
      <c r="AS173" s="149"/>
      <c r="AT173" s="149"/>
    </row>
    <row r="174" spans="22:46" s="12" customFormat="1"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49"/>
      <c r="AP174" s="149"/>
      <c r="AQ174" s="149"/>
      <c r="AR174" s="149"/>
      <c r="AS174" s="149"/>
      <c r="AT174" s="149"/>
    </row>
    <row r="175" spans="22:46" s="12" customFormat="1"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49"/>
      <c r="AP175" s="149"/>
      <c r="AQ175" s="149"/>
      <c r="AR175" s="149"/>
      <c r="AS175" s="149"/>
      <c r="AT175" s="149"/>
    </row>
    <row r="176" spans="22:46" s="12" customFormat="1"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49"/>
      <c r="AP176" s="149"/>
      <c r="AQ176" s="149"/>
      <c r="AR176" s="149"/>
      <c r="AS176" s="149"/>
      <c r="AT176" s="149"/>
    </row>
    <row r="177" spans="22:46" s="12" customFormat="1"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49"/>
      <c r="AP177" s="149"/>
      <c r="AQ177" s="149"/>
      <c r="AR177" s="149"/>
      <c r="AS177" s="149"/>
      <c r="AT177" s="149"/>
    </row>
    <row r="178" spans="22:46" s="12" customFormat="1"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49"/>
      <c r="AP178" s="149"/>
      <c r="AQ178" s="149"/>
      <c r="AR178" s="149"/>
      <c r="AS178" s="149"/>
      <c r="AT178" s="149"/>
    </row>
    <row r="179" spans="22:46" s="12" customFormat="1"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49"/>
      <c r="AP179" s="149"/>
      <c r="AQ179" s="149"/>
      <c r="AR179" s="149"/>
      <c r="AS179" s="149"/>
      <c r="AT179" s="149"/>
    </row>
    <row r="180" spans="22:46" s="12" customFormat="1"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49"/>
      <c r="AP180" s="149"/>
      <c r="AQ180" s="149"/>
      <c r="AR180" s="149"/>
      <c r="AS180" s="149"/>
      <c r="AT180" s="149"/>
    </row>
    <row r="181" spans="22:46" s="12" customFormat="1"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49"/>
      <c r="AP181" s="149"/>
      <c r="AQ181" s="149"/>
      <c r="AR181" s="149"/>
      <c r="AS181" s="149"/>
      <c r="AT181" s="149"/>
    </row>
    <row r="182" spans="22:46" s="12" customFormat="1"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49"/>
      <c r="AP182" s="149"/>
      <c r="AQ182" s="149"/>
      <c r="AR182" s="149"/>
      <c r="AS182" s="149"/>
      <c r="AT182" s="149"/>
    </row>
    <row r="183" spans="22:46" s="12" customFormat="1"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49"/>
      <c r="AP183" s="149"/>
      <c r="AQ183" s="149"/>
      <c r="AR183" s="149"/>
      <c r="AS183" s="149"/>
      <c r="AT183" s="149"/>
    </row>
    <row r="184" spans="22:46" s="12" customFormat="1"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49"/>
      <c r="AP184" s="149"/>
      <c r="AQ184" s="149"/>
      <c r="AR184" s="149"/>
      <c r="AS184" s="149"/>
      <c r="AT184" s="149"/>
    </row>
    <row r="185" spans="22:46" s="12" customFormat="1"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49"/>
      <c r="AP185" s="149"/>
      <c r="AQ185" s="149"/>
      <c r="AR185" s="149"/>
      <c r="AS185" s="149"/>
      <c r="AT185" s="149"/>
    </row>
    <row r="186" spans="22:46" s="12" customFormat="1"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49"/>
      <c r="AP186" s="149"/>
      <c r="AQ186" s="149"/>
      <c r="AR186" s="149"/>
      <c r="AS186" s="149"/>
      <c r="AT186" s="149"/>
    </row>
    <row r="187" spans="22:46" s="12" customFormat="1"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49"/>
      <c r="AP187" s="149"/>
      <c r="AQ187" s="149"/>
      <c r="AR187" s="149"/>
      <c r="AS187" s="149"/>
      <c r="AT187" s="149"/>
    </row>
    <row r="188" spans="22:46" s="12" customFormat="1"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49"/>
      <c r="AP188" s="149"/>
      <c r="AQ188" s="149"/>
      <c r="AR188" s="149"/>
      <c r="AS188" s="149"/>
      <c r="AT188" s="149"/>
    </row>
    <row r="189" spans="22:46" s="12" customFormat="1"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49"/>
      <c r="AP189" s="149"/>
      <c r="AQ189" s="149"/>
      <c r="AR189" s="149"/>
      <c r="AS189" s="149"/>
      <c r="AT189" s="149"/>
    </row>
    <row r="190" spans="22:46" s="12" customFormat="1"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49"/>
      <c r="AP190" s="149"/>
      <c r="AQ190" s="149"/>
      <c r="AR190" s="149"/>
      <c r="AS190" s="149"/>
      <c r="AT190" s="149"/>
    </row>
    <row r="191" spans="22:46" s="12" customFormat="1"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49"/>
      <c r="AP191" s="149"/>
      <c r="AQ191" s="149"/>
      <c r="AR191" s="149"/>
      <c r="AS191" s="149"/>
      <c r="AT191" s="149"/>
    </row>
    <row r="192" spans="22:46" s="12" customFormat="1"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49"/>
      <c r="AP192" s="149"/>
      <c r="AQ192" s="149"/>
      <c r="AR192" s="149"/>
      <c r="AS192" s="149"/>
      <c r="AT192" s="149"/>
    </row>
    <row r="193" spans="22:46" s="12" customFormat="1"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49"/>
      <c r="AP193" s="149"/>
      <c r="AQ193" s="149"/>
      <c r="AR193" s="149"/>
      <c r="AS193" s="149"/>
      <c r="AT193" s="149"/>
    </row>
    <row r="194" spans="22:46" s="12" customFormat="1"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49"/>
      <c r="AP194" s="149"/>
      <c r="AQ194" s="149"/>
      <c r="AR194" s="149"/>
      <c r="AS194" s="149"/>
      <c r="AT194" s="149"/>
    </row>
    <row r="195" spans="22:46" s="12" customFormat="1"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49"/>
      <c r="AP195" s="149"/>
      <c r="AQ195" s="149"/>
      <c r="AR195" s="149"/>
      <c r="AS195" s="149"/>
      <c r="AT195" s="149"/>
    </row>
    <row r="196" spans="22:46" s="12" customFormat="1"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49"/>
      <c r="AP196" s="149"/>
      <c r="AQ196" s="149"/>
      <c r="AR196" s="149"/>
      <c r="AS196" s="149"/>
      <c r="AT196" s="149"/>
    </row>
    <row r="197" spans="22:46" s="12" customFormat="1"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49"/>
      <c r="AP197" s="149"/>
      <c r="AQ197" s="149"/>
      <c r="AR197" s="149"/>
      <c r="AS197" s="149"/>
      <c r="AT197" s="149"/>
    </row>
    <row r="198" spans="22:46" s="12" customFormat="1"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49"/>
      <c r="AP198" s="149"/>
      <c r="AQ198" s="149"/>
      <c r="AR198" s="149"/>
      <c r="AS198" s="149"/>
      <c r="AT198" s="149"/>
    </row>
    <row r="199" spans="22:46" s="12" customFormat="1"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49"/>
      <c r="AP199" s="149"/>
      <c r="AQ199" s="149"/>
      <c r="AR199" s="149"/>
      <c r="AS199" s="149"/>
      <c r="AT199" s="149"/>
    </row>
    <row r="200" spans="22:46" s="12" customFormat="1"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49"/>
      <c r="AP200" s="149"/>
      <c r="AQ200" s="149"/>
      <c r="AR200" s="149"/>
      <c r="AS200" s="149"/>
      <c r="AT200" s="149"/>
    </row>
    <row r="201" spans="22:46" s="12" customFormat="1"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49"/>
      <c r="AP201" s="149"/>
      <c r="AQ201" s="149"/>
      <c r="AR201" s="149"/>
      <c r="AS201" s="149"/>
      <c r="AT201" s="149"/>
    </row>
    <row r="202" spans="22:46" s="12" customFormat="1"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49"/>
      <c r="AP202" s="149"/>
      <c r="AQ202" s="149"/>
      <c r="AR202" s="149"/>
      <c r="AS202" s="149"/>
      <c r="AT202" s="149"/>
    </row>
    <row r="203" spans="22:46" s="12" customFormat="1"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49"/>
      <c r="AP203" s="149"/>
      <c r="AQ203" s="149"/>
      <c r="AR203" s="149"/>
      <c r="AS203" s="149"/>
      <c r="AT203" s="149"/>
    </row>
    <row r="204" spans="22:46" s="12" customFormat="1"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49"/>
      <c r="AP204" s="149"/>
      <c r="AQ204" s="149"/>
      <c r="AR204" s="149"/>
      <c r="AS204" s="149"/>
      <c r="AT204" s="149"/>
    </row>
    <row r="205" spans="22:46" s="12" customFormat="1"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49"/>
      <c r="AP205" s="149"/>
      <c r="AQ205" s="149"/>
      <c r="AR205" s="149"/>
      <c r="AS205" s="149"/>
      <c r="AT205" s="149"/>
    </row>
    <row r="206" spans="22:46" s="12" customFormat="1"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49"/>
      <c r="AP206" s="149"/>
      <c r="AQ206" s="149"/>
      <c r="AR206" s="149"/>
      <c r="AS206" s="149"/>
      <c r="AT206" s="149"/>
    </row>
    <row r="207" spans="22:46" s="12" customFormat="1"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49"/>
      <c r="AP207" s="149"/>
      <c r="AQ207" s="149"/>
      <c r="AR207" s="149"/>
      <c r="AS207" s="149"/>
      <c r="AT207" s="149"/>
    </row>
    <row r="208" spans="22:46" s="12" customFormat="1"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49"/>
      <c r="AP208" s="149"/>
      <c r="AQ208" s="149"/>
      <c r="AR208" s="149"/>
      <c r="AS208" s="149"/>
      <c r="AT208" s="149"/>
    </row>
    <row r="209" spans="22:46" s="12" customFormat="1"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49"/>
      <c r="AP209" s="149"/>
      <c r="AQ209" s="149"/>
      <c r="AR209" s="149"/>
      <c r="AS209" s="149"/>
      <c r="AT209" s="149"/>
    </row>
    <row r="210" spans="22:46" s="12" customFormat="1"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49"/>
      <c r="AP210" s="149"/>
      <c r="AQ210" s="149"/>
      <c r="AR210" s="149"/>
      <c r="AS210" s="149"/>
      <c r="AT210" s="149"/>
    </row>
    <row r="211" spans="22:46" s="12" customFormat="1"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49"/>
      <c r="AP211" s="149"/>
      <c r="AQ211" s="149"/>
      <c r="AR211" s="149"/>
      <c r="AS211" s="149"/>
      <c r="AT211" s="149"/>
    </row>
    <row r="212" spans="22:46" s="12" customFormat="1"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49"/>
      <c r="AP212" s="149"/>
      <c r="AQ212" s="149"/>
      <c r="AR212" s="149"/>
      <c r="AS212" s="149"/>
      <c r="AT212" s="149"/>
    </row>
    <row r="213" spans="22:46" s="12" customFormat="1"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49"/>
      <c r="AP213" s="149"/>
      <c r="AQ213" s="149"/>
      <c r="AR213" s="149"/>
      <c r="AS213" s="149"/>
      <c r="AT213" s="149"/>
    </row>
    <row r="214" spans="22:46" s="12" customFormat="1"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49"/>
      <c r="AP214" s="149"/>
      <c r="AQ214" s="149"/>
      <c r="AR214" s="149"/>
      <c r="AS214" s="149"/>
      <c r="AT214" s="149"/>
    </row>
    <row r="215" spans="22:46" s="12" customFormat="1"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49"/>
      <c r="AP215" s="149"/>
      <c r="AQ215" s="149"/>
      <c r="AR215" s="149"/>
      <c r="AS215" s="149"/>
      <c r="AT215" s="149"/>
    </row>
    <row r="216" spans="22:46" s="12" customFormat="1"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49"/>
      <c r="AP216" s="149"/>
      <c r="AQ216" s="149"/>
      <c r="AR216" s="149"/>
      <c r="AS216" s="149"/>
      <c r="AT216" s="149"/>
    </row>
    <row r="217" spans="22:46" s="12" customFormat="1"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49"/>
      <c r="AP217" s="149"/>
      <c r="AQ217" s="149"/>
      <c r="AR217" s="149"/>
      <c r="AS217" s="149"/>
      <c r="AT217" s="149"/>
    </row>
    <row r="218" spans="22:46" s="12" customFormat="1"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49"/>
      <c r="AP218" s="149"/>
      <c r="AQ218" s="149"/>
      <c r="AR218" s="149"/>
      <c r="AS218" s="149"/>
      <c r="AT218" s="149"/>
    </row>
    <row r="219" spans="22:46" s="12" customFormat="1"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49"/>
      <c r="AP219" s="149"/>
      <c r="AQ219" s="149"/>
      <c r="AR219" s="149"/>
      <c r="AS219" s="149"/>
      <c r="AT219" s="149"/>
    </row>
    <row r="220" spans="22:46" s="12" customFormat="1"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49"/>
      <c r="AP220" s="149"/>
      <c r="AQ220" s="149"/>
      <c r="AR220" s="149"/>
      <c r="AS220" s="149"/>
      <c r="AT220" s="149"/>
    </row>
    <row r="221" spans="22:46" s="12" customFormat="1"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49"/>
      <c r="AP221" s="149"/>
      <c r="AQ221" s="149"/>
      <c r="AR221" s="149"/>
      <c r="AS221" s="149"/>
      <c r="AT221" s="149"/>
    </row>
    <row r="222" spans="22:46" s="12" customFormat="1"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49"/>
      <c r="AP222" s="149"/>
      <c r="AQ222" s="149"/>
      <c r="AR222" s="149"/>
      <c r="AS222" s="149"/>
      <c r="AT222" s="149"/>
    </row>
    <row r="223" spans="22:46" s="12" customFormat="1"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49"/>
      <c r="AP223" s="149"/>
      <c r="AQ223" s="149"/>
      <c r="AR223" s="149"/>
      <c r="AS223" s="149"/>
      <c r="AT223" s="149"/>
    </row>
    <row r="224" spans="22:46" s="12" customFormat="1"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49"/>
      <c r="AP224" s="149"/>
      <c r="AQ224" s="149"/>
      <c r="AR224" s="149"/>
      <c r="AS224" s="149"/>
      <c r="AT224" s="149"/>
    </row>
    <row r="225" spans="22:46" s="12" customFormat="1"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49"/>
      <c r="AP225" s="149"/>
      <c r="AQ225" s="149"/>
      <c r="AR225" s="149"/>
      <c r="AS225" s="149"/>
      <c r="AT225" s="149"/>
    </row>
    <row r="226" spans="22:46" s="12" customFormat="1"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49"/>
      <c r="AP226" s="149"/>
      <c r="AQ226" s="149"/>
      <c r="AR226" s="149"/>
      <c r="AS226" s="149"/>
      <c r="AT226" s="149"/>
    </row>
    <row r="227" spans="22:46" s="12" customFormat="1"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49"/>
      <c r="AP227" s="149"/>
      <c r="AQ227" s="149"/>
      <c r="AR227" s="149"/>
      <c r="AS227" s="149"/>
      <c r="AT227" s="149"/>
    </row>
    <row r="228" spans="22:46" s="12" customFormat="1"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49"/>
      <c r="AP228" s="149"/>
      <c r="AQ228" s="149"/>
      <c r="AR228" s="149"/>
      <c r="AS228" s="149"/>
      <c r="AT228" s="149"/>
    </row>
    <row r="229" spans="22:46" s="12" customFormat="1"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49"/>
      <c r="AP229" s="149"/>
      <c r="AQ229" s="149"/>
      <c r="AR229" s="149"/>
      <c r="AS229" s="149"/>
      <c r="AT229" s="149"/>
    </row>
    <row r="230" spans="22:46" s="12" customFormat="1"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49"/>
      <c r="AP230" s="149"/>
      <c r="AQ230" s="149"/>
      <c r="AR230" s="149"/>
      <c r="AS230" s="149"/>
      <c r="AT230" s="149"/>
    </row>
    <row r="231" spans="22:46" s="12" customFormat="1"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49"/>
      <c r="AP231" s="149"/>
      <c r="AQ231" s="149"/>
      <c r="AR231" s="149"/>
      <c r="AS231" s="149"/>
      <c r="AT231" s="149"/>
    </row>
    <row r="232" spans="22:46" s="12" customFormat="1"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49"/>
      <c r="AP232" s="149"/>
      <c r="AQ232" s="149"/>
      <c r="AR232" s="149"/>
      <c r="AS232" s="149"/>
      <c r="AT232" s="149"/>
    </row>
    <row r="233" spans="22:46" s="12" customFormat="1"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49"/>
      <c r="AP233" s="149"/>
      <c r="AQ233" s="149"/>
      <c r="AR233" s="149"/>
      <c r="AS233" s="149"/>
      <c r="AT233" s="149"/>
    </row>
    <row r="234" spans="22:46" s="12" customFormat="1"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49"/>
      <c r="AP234" s="149"/>
      <c r="AQ234" s="149"/>
      <c r="AR234" s="149"/>
      <c r="AS234" s="149"/>
      <c r="AT234" s="149"/>
    </row>
    <row r="235" spans="22:46" s="12" customFormat="1"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49"/>
      <c r="AP235" s="149"/>
      <c r="AQ235" s="149"/>
      <c r="AR235" s="149"/>
      <c r="AS235" s="149"/>
      <c r="AT235" s="149"/>
    </row>
    <row r="236" spans="22:46" s="12" customFormat="1"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49"/>
      <c r="AP236" s="149"/>
      <c r="AQ236" s="149"/>
      <c r="AR236" s="149"/>
      <c r="AS236" s="149"/>
      <c r="AT236" s="149"/>
    </row>
    <row r="237" spans="22:46" s="12" customFormat="1"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49"/>
      <c r="AP237" s="149"/>
      <c r="AQ237" s="149"/>
      <c r="AR237" s="149"/>
      <c r="AS237" s="149"/>
      <c r="AT237" s="149"/>
    </row>
    <row r="238" spans="22:46" s="12" customFormat="1"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49"/>
      <c r="AP238" s="149"/>
      <c r="AQ238" s="149"/>
      <c r="AR238" s="149"/>
      <c r="AS238" s="149"/>
      <c r="AT238" s="149"/>
    </row>
    <row r="239" spans="22:46" s="12" customFormat="1"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49"/>
      <c r="AP239" s="149"/>
      <c r="AQ239" s="149"/>
      <c r="AR239" s="149"/>
      <c r="AS239" s="149"/>
      <c r="AT239" s="149"/>
    </row>
    <row r="240" spans="22:46" s="12" customFormat="1"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49"/>
      <c r="AP240" s="149"/>
      <c r="AQ240" s="149"/>
      <c r="AR240" s="149"/>
      <c r="AS240" s="149"/>
      <c r="AT240" s="149"/>
    </row>
    <row r="241" spans="22:46" s="12" customFormat="1"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49"/>
      <c r="AP241" s="149"/>
      <c r="AQ241" s="149"/>
      <c r="AR241" s="149"/>
      <c r="AS241" s="149"/>
      <c r="AT241" s="149"/>
    </row>
    <row r="242" spans="22:46" s="12" customFormat="1"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49"/>
      <c r="AP242" s="149"/>
      <c r="AQ242" s="149"/>
      <c r="AR242" s="149"/>
      <c r="AS242" s="149"/>
      <c r="AT242" s="149"/>
    </row>
    <row r="243" spans="22:46" s="12" customFormat="1"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49"/>
      <c r="AP243" s="149"/>
      <c r="AQ243" s="149"/>
      <c r="AR243" s="149"/>
      <c r="AS243" s="149"/>
      <c r="AT243" s="149"/>
    </row>
    <row r="244" spans="22:46" s="12" customFormat="1"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49"/>
      <c r="AP244" s="149"/>
      <c r="AQ244" s="149"/>
      <c r="AR244" s="149"/>
      <c r="AS244" s="149"/>
      <c r="AT244" s="149"/>
    </row>
    <row r="245" spans="22:46" s="12" customFormat="1"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49"/>
      <c r="AP245" s="149"/>
      <c r="AQ245" s="149"/>
      <c r="AR245" s="149"/>
      <c r="AS245" s="149"/>
      <c r="AT245" s="149"/>
    </row>
    <row r="246" spans="22:46" s="12" customFormat="1"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49"/>
      <c r="AP246" s="149"/>
      <c r="AQ246" s="149"/>
      <c r="AR246" s="149"/>
      <c r="AS246" s="149"/>
      <c r="AT246" s="149"/>
    </row>
    <row r="247" spans="22:46" s="12" customFormat="1"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49"/>
      <c r="AP247" s="149"/>
      <c r="AQ247" s="149"/>
      <c r="AR247" s="149"/>
      <c r="AS247" s="149"/>
      <c r="AT247" s="149"/>
    </row>
    <row r="248" spans="22:46" s="12" customFormat="1"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49"/>
      <c r="AP248" s="149"/>
      <c r="AQ248" s="149"/>
      <c r="AR248" s="149"/>
      <c r="AS248" s="149"/>
      <c r="AT248" s="149"/>
    </row>
    <row r="249" spans="22:46" s="12" customFormat="1"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49"/>
      <c r="AP249" s="149"/>
      <c r="AQ249" s="149"/>
      <c r="AR249" s="149"/>
      <c r="AS249" s="149"/>
      <c r="AT249" s="149"/>
    </row>
    <row r="250" spans="22:46" s="12" customFormat="1"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49"/>
      <c r="AP250" s="149"/>
      <c r="AQ250" s="149"/>
      <c r="AR250" s="149"/>
      <c r="AS250" s="149"/>
      <c r="AT250" s="149"/>
    </row>
    <row r="251" spans="22:46" s="12" customFormat="1"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49"/>
      <c r="AP251" s="149"/>
      <c r="AQ251" s="149"/>
      <c r="AR251" s="149"/>
      <c r="AS251" s="149"/>
      <c r="AT251" s="149"/>
    </row>
    <row r="252" spans="22:46" s="12" customFormat="1"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49"/>
      <c r="AP252" s="149"/>
      <c r="AQ252" s="149"/>
      <c r="AR252" s="149"/>
      <c r="AS252" s="149"/>
      <c r="AT252" s="149"/>
    </row>
    <row r="253" spans="22:46" s="12" customFormat="1"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49"/>
      <c r="AP253" s="149"/>
      <c r="AQ253" s="149"/>
      <c r="AR253" s="149"/>
      <c r="AS253" s="149"/>
      <c r="AT253" s="149"/>
    </row>
    <row r="254" spans="22:46" s="12" customFormat="1"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49"/>
      <c r="AP254" s="149"/>
      <c r="AQ254" s="149"/>
      <c r="AR254" s="149"/>
      <c r="AS254" s="149"/>
      <c r="AT254" s="149"/>
    </row>
    <row r="255" spans="22:46" s="12" customFormat="1"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49"/>
      <c r="AP255" s="149"/>
      <c r="AQ255" s="149"/>
      <c r="AR255" s="149"/>
      <c r="AS255" s="149"/>
      <c r="AT255" s="149"/>
    </row>
    <row r="256" spans="22:46" s="12" customFormat="1"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49"/>
      <c r="AP256" s="149"/>
      <c r="AQ256" s="149"/>
      <c r="AR256" s="149"/>
      <c r="AS256" s="149"/>
      <c r="AT256" s="149"/>
    </row>
    <row r="257" spans="20:46" s="12" customFormat="1"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49"/>
      <c r="AP257" s="149"/>
      <c r="AQ257" s="149"/>
      <c r="AR257" s="149"/>
      <c r="AS257" s="149"/>
      <c r="AT257" s="149"/>
    </row>
    <row r="258" spans="20:46" s="12" customFormat="1"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49"/>
      <c r="AP258" s="149"/>
      <c r="AQ258" s="149"/>
      <c r="AR258" s="149"/>
      <c r="AS258" s="149"/>
      <c r="AT258" s="149"/>
    </row>
    <row r="259" spans="20:46" s="12" customFormat="1"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49"/>
      <c r="AP259" s="149"/>
      <c r="AQ259" s="149"/>
      <c r="AR259" s="149"/>
      <c r="AS259" s="149"/>
      <c r="AT259" s="149"/>
    </row>
    <row r="260" spans="20:46" s="12" customFormat="1"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49"/>
      <c r="AP260" s="149"/>
      <c r="AQ260" s="149"/>
      <c r="AR260" s="149"/>
      <c r="AS260" s="149"/>
      <c r="AT260" s="149"/>
    </row>
    <row r="261" spans="20:46" s="12" customFormat="1"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49"/>
      <c r="AP261" s="149"/>
      <c r="AQ261" s="149"/>
      <c r="AR261" s="149"/>
      <c r="AS261" s="149"/>
      <c r="AT261" s="149"/>
    </row>
    <row r="262" spans="20:46" s="12" customFormat="1"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49"/>
      <c r="AP262" s="149"/>
      <c r="AQ262" s="149"/>
      <c r="AR262" s="149"/>
      <c r="AS262" s="149"/>
      <c r="AT262" s="149"/>
    </row>
    <row r="263" spans="20:46" s="12" customFormat="1"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49"/>
      <c r="AP263" s="149"/>
      <c r="AQ263" s="149"/>
      <c r="AR263" s="149"/>
      <c r="AS263" s="149"/>
      <c r="AT263" s="149"/>
    </row>
    <row r="264" spans="20:46" s="12" customFormat="1"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49"/>
      <c r="AP264" s="149"/>
      <c r="AQ264" s="149"/>
      <c r="AR264" s="149"/>
      <c r="AS264" s="149"/>
      <c r="AT264" s="149"/>
    </row>
    <row r="265" spans="20:46" s="12" customFormat="1"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49"/>
      <c r="AP265" s="149"/>
      <c r="AQ265" s="149"/>
      <c r="AR265" s="149"/>
      <c r="AS265" s="149"/>
      <c r="AT265" s="149"/>
    </row>
    <row r="266" spans="20:46" s="12" customFormat="1"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49"/>
      <c r="AP266" s="149"/>
      <c r="AQ266" s="149"/>
      <c r="AR266" s="149"/>
      <c r="AS266" s="149"/>
      <c r="AT266" s="149"/>
    </row>
    <row r="267" spans="20:46" s="12" customFormat="1"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49"/>
      <c r="AP267" s="149"/>
      <c r="AQ267" s="149"/>
      <c r="AR267" s="149"/>
      <c r="AS267" s="149"/>
      <c r="AT267" s="149"/>
    </row>
    <row r="268" spans="20:46" s="12" customFormat="1"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49"/>
      <c r="AP268" s="149"/>
      <c r="AQ268" s="149"/>
      <c r="AR268" s="149"/>
      <c r="AS268" s="149"/>
      <c r="AT268" s="149"/>
    </row>
    <row r="269" spans="20:46" s="12" customFormat="1">
      <c r="T269" s="11"/>
      <c r="U269" s="11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48"/>
      <c r="AP269" s="149"/>
      <c r="AQ269" s="149"/>
      <c r="AR269" s="149"/>
      <c r="AS269" s="149"/>
      <c r="AT269" s="149"/>
    </row>
    <row r="270" spans="20:46" s="12" customFormat="1">
      <c r="T270" s="11"/>
      <c r="U270" s="11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48"/>
      <c r="AP270" s="149"/>
      <c r="AQ270" s="149"/>
      <c r="AR270" s="149"/>
      <c r="AS270" s="149"/>
      <c r="AT270" s="149"/>
    </row>
    <row r="271" spans="20:46" s="12" customFormat="1">
      <c r="T271" s="11"/>
      <c r="U271" s="11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48"/>
      <c r="AP271" s="149"/>
      <c r="AQ271" s="149"/>
      <c r="AR271" s="149"/>
      <c r="AS271" s="149"/>
      <c r="AT271" s="149"/>
    </row>
    <row r="272" spans="20:46" s="12" customFormat="1">
      <c r="T272" s="11"/>
      <c r="U272" s="11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48"/>
      <c r="AP272" s="149"/>
      <c r="AQ272" s="149"/>
      <c r="AR272" s="149"/>
      <c r="AS272" s="149"/>
      <c r="AT272" s="149"/>
    </row>
    <row r="273" spans="20:46" s="12" customFormat="1">
      <c r="T273" s="11"/>
      <c r="U273" s="11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48"/>
      <c r="AP273" s="149"/>
      <c r="AQ273" s="149"/>
      <c r="AR273" s="149"/>
      <c r="AS273" s="149"/>
      <c r="AT273" s="149"/>
    </row>
    <row r="274" spans="20:46" s="12" customFormat="1">
      <c r="T274" s="11"/>
      <c r="U274" s="11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48"/>
      <c r="AP274" s="149"/>
      <c r="AQ274" s="149"/>
      <c r="AR274" s="149"/>
      <c r="AS274" s="149"/>
      <c r="AT274" s="149"/>
    </row>
    <row r="275" spans="20:46" s="12" customFormat="1">
      <c r="T275" s="11"/>
      <c r="U275" s="11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48"/>
      <c r="AP275" s="149"/>
      <c r="AQ275" s="149"/>
      <c r="AR275" s="149"/>
      <c r="AS275" s="149"/>
      <c r="AT275" s="149"/>
    </row>
    <row r="276" spans="20:46" s="12" customFormat="1">
      <c r="T276" s="11"/>
      <c r="U276" s="11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48"/>
      <c r="AP276" s="149"/>
      <c r="AQ276" s="149"/>
      <c r="AR276" s="149"/>
      <c r="AS276" s="149"/>
      <c r="AT276" s="149"/>
    </row>
    <row r="277" spans="20:46" s="12" customFormat="1">
      <c r="T277" s="11"/>
      <c r="U277" s="11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48"/>
      <c r="AP277" s="149"/>
      <c r="AQ277" s="149"/>
      <c r="AR277" s="149"/>
      <c r="AS277" s="149"/>
      <c r="AT277" s="149"/>
    </row>
    <row r="278" spans="20:46" s="12" customFormat="1">
      <c r="T278" s="11"/>
      <c r="U278" s="11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48"/>
      <c r="AP278" s="149"/>
      <c r="AQ278" s="149"/>
      <c r="AR278" s="149"/>
      <c r="AS278" s="149"/>
      <c r="AT278" s="149"/>
    </row>
    <row r="279" spans="20:46" s="12" customFormat="1">
      <c r="T279" s="11"/>
      <c r="U279" s="11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48"/>
      <c r="AP279" s="149"/>
      <c r="AQ279" s="149"/>
      <c r="AR279" s="149"/>
      <c r="AS279" s="149"/>
      <c r="AT279" s="149"/>
    </row>
    <row r="280" spans="20:46" s="12" customFormat="1">
      <c r="T280" s="11"/>
      <c r="U280" s="11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48"/>
      <c r="AP280" s="149"/>
      <c r="AQ280" s="149"/>
      <c r="AR280" s="149"/>
      <c r="AS280" s="149"/>
      <c r="AT280" s="149"/>
    </row>
    <row r="281" spans="20:46" s="12" customFormat="1">
      <c r="T281" s="11"/>
      <c r="U281" s="11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48"/>
      <c r="AP281" s="149"/>
      <c r="AQ281" s="149"/>
      <c r="AR281" s="149"/>
      <c r="AS281" s="149"/>
      <c r="AT281" s="149"/>
    </row>
    <row r="282" spans="20:46" s="12" customFormat="1">
      <c r="T282" s="11"/>
      <c r="U282" s="11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48"/>
      <c r="AP282" s="149"/>
      <c r="AQ282" s="149"/>
      <c r="AR282" s="149"/>
      <c r="AS282" s="149"/>
      <c r="AT282" s="149"/>
    </row>
    <row r="283" spans="20:46" s="12" customFormat="1">
      <c r="T283" s="11"/>
      <c r="U283" s="11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48"/>
      <c r="AP283" s="149"/>
      <c r="AQ283" s="149"/>
      <c r="AR283" s="149"/>
      <c r="AS283" s="149"/>
      <c r="AT283" s="149"/>
    </row>
    <row r="284" spans="20:46" s="12" customFormat="1">
      <c r="T284" s="11"/>
      <c r="U284" s="11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48"/>
      <c r="AP284" s="149"/>
      <c r="AQ284" s="149"/>
      <c r="AR284" s="149"/>
      <c r="AS284" s="149"/>
      <c r="AT284" s="149"/>
    </row>
    <row r="285" spans="20:46" s="12" customFormat="1">
      <c r="T285" s="11"/>
      <c r="U285" s="11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48"/>
      <c r="AP285" s="149"/>
      <c r="AQ285" s="149"/>
      <c r="AR285" s="149"/>
      <c r="AS285" s="149"/>
      <c r="AT285" s="149"/>
    </row>
    <row r="286" spans="20:46" s="12" customFormat="1">
      <c r="T286" s="11"/>
      <c r="U286" s="11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48"/>
      <c r="AP286" s="149"/>
      <c r="AQ286" s="149"/>
      <c r="AR286" s="149"/>
      <c r="AS286" s="149"/>
      <c r="AT286" s="149"/>
    </row>
    <row r="287" spans="20:46" s="12" customFormat="1">
      <c r="T287" s="11"/>
      <c r="U287" s="11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48"/>
      <c r="AP287" s="149"/>
      <c r="AQ287" s="149"/>
      <c r="AR287" s="149"/>
      <c r="AS287" s="149"/>
      <c r="AT287" s="149"/>
    </row>
    <row r="288" spans="20:46" s="12" customFormat="1">
      <c r="T288" s="11"/>
      <c r="U288" s="11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48"/>
      <c r="AP288" s="149"/>
      <c r="AQ288" s="149"/>
      <c r="AR288" s="149"/>
      <c r="AS288" s="149"/>
      <c r="AT288" s="149"/>
    </row>
    <row r="289" spans="20:46" s="12" customFormat="1">
      <c r="T289" s="11"/>
      <c r="U289" s="11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48"/>
      <c r="AP289" s="149"/>
      <c r="AQ289" s="149"/>
      <c r="AR289" s="149"/>
      <c r="AS289" s="149"/>
      <c r="AT289" s="149"/>
    </row>
    <row r="290" spans="20:46" s="12" customFormat="1">
      <c r="T290" s="11"/>
      <c r="U290" s="11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48"/>
      <c r="AP290" s="149"/>
      <c r="AQ290" s="149"/>
      <c r="AR290" s="149"/>
      <c r="AS290" s="149"/>
      <c r="AT290" s="149"/>
    </row>
    <row r="291" spans="20:46" s="12" customFormat="1">
      <c r="T291" s="11"/>
      <c r="U291" s="11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48"/>
      <c r="AP291" s="149"/>
      <c r="AQ291" s="149"/>
      <c r="AR291" s="149"/>
      <c r="AS291" s="149"/>
      <c r="AT291" s="149"/>
    </row>
    <row r="292" spans="20:46" s="12" customFormat="1">
      <c r="T292" s="11"/>
      <c r="U292" s="11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48"/>
      <c r="AP292" s="149"/>
      <c r="AQ292" s="149"/>
      <c r="AR292" s="149"/>
      <c r="AS292" s="149"/>
      <c r="AT292" s="149"/>
    </row>
    <row r="293" spans="20:46" s="12" customFormat="1">
      <c r="T293" s="11"/>
      <c r="U293" s="11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48"/>
      <c r="AP293" s="149"/>
      <c r="AQ293" s="149"/>
      <c r="AR293" s="149"/>
      <c r="AS293" s="149"/>
      <c r="AT293" s="149"/>
    </row>
    <row r="294" spans="20:46" s="12" customFormat="1">
      <c r="T294" s="11"/>
      <c r="U294" s="11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48"/>
      <c r="AP294" s="149"/>
      <c r="AQ294" s="149"/>
      <c r="AR294" s="149"/>
      <c r="AS294" s="149"/>
      <c r="AT294" s="149"/>
    </row>
    <row r="295" spans="20:46" s="12" customFormat="1">
      <c r="T295" s="11"/>
      <c r="U295" s="11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48"/>
      <c r="AP295" s="149"/>
      <c r="AQ295" s="149"/>
      <c r="AR295" s="149"/>
      <c r="AS295" s="149"/>
      <c r="AT295" s="149"/>
    </row>
    <row r="296" spans="20:46" s="12" customFormat="1">
      <c r="T296" s="11"/>
      <c r="U296" s="11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48"/>
      <c r="AP296" s="149"/>
      <c r="AQ296" s="149"/>
      <c r="AR296" s="149"/>
      <c r="AS296" s="149"/>
      <c r="AT296" s="149"/>
    </row>
    <row r="297" spans="20:46" s="12" customFormat="1">
      <c r="T297" s="11"/>
      <c r="U297" s="11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48"/>
      <c r="AP297" s="149"/>
      <c r="AQ297" s="149"/>
      <c r="AR297" s="149"/>
      <c r="AS297" s="149"/>
      <c r="AT297" s="149"/>
    </row>
    <row r="298" spans="20:46" s="12" customFormat="1">
      <c r="T298" s="11"/>
      <c r="U298" s="11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48"/>
      <c r="AP298" s="149"/>
      <c r="AQ298" s="149"/>
      <c r="AR298" s="149"/>
      <c r="AS298" s="149"/>
      <c r="AT298" s="149"/>
    </row>
    <row r="299" spans="20:46" s="12" customFormat="1">
      <c r="T299" s="11"/>
      <c r="U299" s="11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48"/>
      <c r="AP299" s="149"/>
      <c r="AQ299" s="149"/>
      <c r="AR299" s="149"/>
      <c r="AS299" s="149"/>
      <c r="AT299" s="149"/>
    </row>
    <row r="300" spans="20:46" s="12" customFormat="1">
      <c r="T300" s="11"/>
      <c r="U300" s="11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48"/>
      <c r="AP300" s="149"/>
      <c r="AQ300" s="149"/>
      <c r="AR300" s="149"/>
      <c r="AS300" s="149"/>
      <c r="AT300" s="149"/>
    </row>
    <row r="301" spans="20:46" s="12" customFormat="1">
      <c r="T301" s="11"/>
      <c r="U301" s="11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48"/>
      <c r="AP301" s="149"/>
      <c r="AQ301" s="149"/>
      <c r="AR301" s="149"/>
      <c r="AS301" s="149"/>
      <c r="AT301" s="149"/>
    </row>
    <row r="302" spans="20:46" s="12" customFormat="1">
      <c r="T302" s="11"/>
      <c r="U302" s="11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48"/>
      <c r="AP302" s="149"/>
      <c r="AQ302" s="149"/>
      <c r="AR302" s="149"/>
      <c r="AS302" s="149"/>
      <c r="AT302" s="149"/>
    </row>
    <row r="303" spans="20:46" s="12" customFormat="1">
      <c r="T303" s="11"/>
      <c r="U303" s="11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48"/>
      <c r="AP303" s="149"/>
      <c r="AQ303" s="149"/>
      <c r="AR303" s="149"/>
      <c r="AS303" s="149"/>
      <c r="AT303" s="149"/>
    </row>
    <row r="304" spans="20:46" s="12" customFormat="1">
      <c r="T304" s="11"/>
      <c r="U304" s="11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48"/>
      <c r="AP304" s="149"/>
      <c r="AQ304" s="149"/>
      <c r="AR304" s="149"/>
      <c r="AS304" s="149"/>
      <c r="AT304" s="149"/>
    </row>
    <row r="305" spans="20:46" s="12" customFormat="1">
      <c r="T305" s="11"/>
      <c r="U305" s="11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48"/>
      <c r="AP305" s="149"/>
      <c r="AQ305" s="149"/>
      <c r="AR305" s="149"/>
      <c r="AS305" s="149"/>
      <c r="AT305" s="149"/>
    </row>
    <row r="306" spans="20:46" s="12" customFormat="1">
      <c r="T306" s="11"/>
      <c r="U306" s="11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48"/>
      <c r="AP306" s="149"/>
      <c r="AQ306" s="149"/>
      <c r="AR306" s="149"/>
      <c r="AS306" s="149"/>
      <c r="AT306" s="149"/>
    </row>
    <row r="307" spans="20:46" s="12" customFormat="1">
      <c r="T307" s="11"/>
      <c r="U307" s="11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48"/>
      <c r="AP307" s="149"/>
      <c r="AQ307" s="149"/>
      <c r="AR307" s="149"/>
      <c r="AS307" s="149"/>
      <c r="AT307" s="149"/>
    </row>
    <row r="308" spans="20:46" s="12" customFormat="1">
      <c r="T308" s="11"/>
      <c r="U308" s="11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48"/>
      <c r="AP308" s="149"/>
      <c r="AQ308" s="149"/>
      <c r="AR308" s="149"/>
      <c r="AS308" s="149"/>
      <c r="AT308" s="149"/>
    </row>
    <row r="309" spans="20:46" s="12" customFormat="1">
      <c r="T309" s="11"/>
      <c r="U309" s="11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48"/>
      <c r="AP309" s="149"/>
      <c r="AQ309" s="149"/>
      <c r="AR309" s="149"/>
      <c r="AS309" s="149"/>
      <c r="AT309" s="149"/>
    </row>
    <row r="310" spans="20:46" s="12" customFormat="1">
      <c r="T310" s="11"/>
      <c r="U310" s="11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48"/>
      <c r="AP310" s="149"/>
      <c r="AQ310" s="149"/>
      <c r="AR310" s="149"/>
      <c r="AS310" s="149"/>
      <c r="AT310" s="149"/>
    </row>
    <row r="311" spans="20:46" s="12" customFormat="1">
      <c r="T311" s="11"/>
      <c r="U311" s="11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48"/>
      <c r="AP311" s="149"/>
      <c r="AQ311" s="149"/>
      <c r="AR311" s="149"/>
      <c r="AS311" s="149"/>
      <c r="AT311" s="149"/>
    </row>
    <row r="312" spans="20:46" s="12" customFormat="1">
      <c r="T312" s="11"/>
      <c r="U312" s="11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48"/>
      <c r="AP312" s="149"/>
      <c r="AQ312" s="149"/>
      <c r="AR312" s="149"/>
      <c r="AS312" s="149"/>
      <c r="AT312" s="149"/>
    </row>
    <row r="313" spans="20:46" s="12" customFormat="1">
      <c r="T313" s="11"/>
      <c r="U313" s="11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48"/>
      <c r="AP313" s="149"/>
      <c r="AQ313" s="149"/>
      <c r="AR313" s="149"/>
      <c r="AS313" s="149"/>
      <c r="AT313" s="149"/>
    </row>
    <row r="314" spans="20:46" s="12" customFormat="1">
      <c r="T314" s="11"/>
      <c r="U314" s="11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48"/>
      <c r="AP314" s="149"/>
      <c r="AQ314" s="149"/>
      <c r="AR314" s="149"/>
      <c r="AS314" s="149"/>
      <c r="AT314" s="149"/>
    </row>
    <row r="315" spans="20:46" s="12" customFormat="1">
      <c r="T315" s="11"/>
      <c r="U315" s="11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48"/>
      <c r="AP315" s="149"/>
      <c r="AQ315" s="149"/>
      <c r="AR315" s="149"/>
      <c r="AS315" s="149"/>
      <c r="AT315" s="149"/>
    </row>
    <row r="316" spans="20:46" s="12" customFormat="1">
      <c r="T316" s="11"/>
      <c r="U316" s="11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48"/>
      <c r="AP316" s="149"/>
      <c r="AQ316" s="149"/>
      <c r="AR316" s="149"/>
      <c r="AS316" s="149"/>
      <c r="AT316" s="149"/>
    </row>
    <row r="317" spans="20:46" s="12" customFormat="1">
      <c r="T317" s="11"/>
      <c r="U317" s="11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48"/>
      <c r="AP317" s="149"/>
      <c r="AQ317" s="149"/>
      <c r="AR317" s="149"/>
      <c r="AS317" s="149"/>
      <c r="AT317" s="149"/>
    </row>
    <row r="318" spans="20:46" s="12" customFormat="1">
      <c r="T318" s="11"/>
      <c r="U318" s="11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48"/>
      <c r="AP318" s="149"/>
      <c r="AQ318" s="149"/>
      <c r="AR318" s="149"/>
      <c r="AS318" s="149"/>
      <c r="AT318" s="149"/>
    </row>
    <row r="319" spans="20:46" s="12" customFormat="1">
      <c r="T319" s="11"/>
      <c r="U319" s="11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48"/>
      <c r="AP319" s="149"/>
      <c r="AQ319" s="149"/>
      <c r="AR319" s="149"/>
      <c r="AS319" s="149"/>
      <c r="AT319" s="149"/>
    </row>
    <row r="320" spans="20:46" s="12" customFormat="1">
      <c r="T320" s="11"/>
      <c r="U320" s="11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48"/>
      <c r="AP320" s="149"/>
      <c r="AQ320" s="149"/>
      <c r="AR320" s="149"/>
      <c r="AS320" s="149"/>
      <c r="AT320" s="149"/>
    </row>
    <row r="321" spans="20:46" s="12" customFormat="1">
      <c r="T321" s="11"/>
      <c r="U321" s="11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48"/>
      <c r="AP321" s="149"/>
      <c r="AQ321" s="149"/>
      <c r="AR321" s="149"/>
      <c r="AS321" s="149"/>
      <c r="AT321" s="149"/>
    </row>
    <row r="322" spans="20:46" s="12" customFormat="1">
      <c r="T322" s="11"/>
      <c r="U322" s="11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48"/>
      <c r="AP322" s="149"/>
      <c r="AQ322" s="149"/>
      <c r="AR322" s="149"/>
      <c r="AS322" s="149"/>
      <c r="AT322" s="149"/>
    </row>
    <row r="323" spans="20:46" s="12" customFormat="1">
      <c r="T323" s="11"/>
      <c r="U323" s="11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48"/>
      <c r="AP323" s="149"/>
      <c r="AQ323" s="149"/>
      <c r="AR323" s="149"/>
      <c r="AS323" s="149"/>
      <c r="AT323" s="149"/>
    </row>
    <row r="324" spans="20:46" s="12" customFormat="1">
      <c r="T324" s="11"/>
      <c r="U324" s="11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48"/>
      <c r="AP324" s="149"/>
      <c r="AQ324" s="149"/>
      <c r="AR324" s="149"/>
      <c r="AS324" s="149"/>
      <c r="AT324" s="149"/>
    </row>
    <row r="325" spans="20:46" s="12" customFormat="1">
      <c r="T325" s="11"/>
      <c r="U325" s="11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48"/>
      <c r="AP325" s="149"/>
      <c r="AQ325" s="149"/>
      <c r="AR325" s="149"/>
      <c r="AS325" s="149"/>
      <c r="AT325" s="149"/>
    </row>
    <row r="326" spans="20:46" s="12" customFormat="1">
      <c r="T326" s="11"/>
      <c r="U326" s="11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48"/>
      <c r="AP326" s="149"/>
      <c r="AQ326" s="149"/>
      <c r="AR326" s="149"/>
      <c r="AS326" s="149"/>
      <c r="AT326" s="149"/>
    </row>
    <row r="327" spans="20:46" s="12" customFormat="1">
      <c r="T327" s="11"/>
      <c r="U327" s="11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48"/>
      <c r="AP327" s="149"/>
      <c r="AQ327" s="149"/>
      <c r="AR327" s="149"/>
      <c r="AS327" s="149"/>
      <c r="AT327" s="149"/>
    </row>
    <row r="328" spans="20:46" s="12" customFormat="1">
      <c r="T328" s="11"/>
      <c r="U328" s="11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48"/>
      <c r="AP328" s="149"/>
      <c r="AQ328" s="149"/>
      <c r="AR328" s="149"/>
      <c r="AS328" s="149"/>
      <c r="AT328" s="149"/>
    </row>
    <row r="329" spans="20:46" s="12" customFormat="1">
      <c r="T329" s="11"/>
      <c r="U329" s="11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48"/>
      <c r="AP329" s="149"/>
      <c r="AQ329" s="149"/>
      <c r="AR329" s="149"/>
      <c r="AS329" s="149"/>
      <c r="AT329" s="149"/>
    </row>
    <row r="330" spans="20:46" s="12" customFormat="1">
      <c r="T330" s="11"/>
      <c r="U330" s="11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48"/>
      <c r="AP330" s="149"/>
      <c r="AQ330" s="149"/>
      <c r="AR330" s="149"/>
      <c r="AS330" s="149"/>
      <c r="AT330" s="149"/>
    </row>
    <row r="331" spans="20:46" s="12" customFormat="1">
      <c r="T331" s="11"/>
      <c r="U331" s="11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48"/>
      <c r="AP331" s="149"/>
      <c r="AQ331" s="149"/>
      <c r="AR331" s="149"/>
      <c r="AS331" s="149"/>
      <c r="AT331" s="149"/>
    </row>
    <row r="332" spans="20:46" s="12" customFormat="1">
      <c r="T332" s="11"/>
      <c r="U332" s="11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48"/>
      <c r="AP332" s="149"/>
      <c r="AQ332" s="149"/>
      <c r="AR332" s="149"/>
      <c r="AS332" s="149"/>
      <c r="AT332" s="149"/>
    </row>
    <row r="333" spans="20:46" s="12" customFormat="1">
      <c r="T333" s="11"/>
      <c r="U333" s="11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48"/>
      <c r="AP333" s="149"/>
      <c r="AQ333" s="149"/>
      <c r="AR333" s="149"/>
      <c r="AS333" s="149"/>
      <c r="AT333" s="149"/>
    </row>
    <row r="334" spans="20:46" s="12" customFormat="1">
      <c r="T334" s="11"/>
      <c r="U334" s="11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48"/>
      <c r="AP334" s="149"/>
      <c r="AQ334" s="149"/>
      <c r="AR334" s="149"/>
      <c r="AS334" s="149"/>
      <c r="AT334" s="149"/>
    </row>
    <row r="335" spans="20:46" s="12" customFormat="1">
      <c r="T335" s="11"/>
      <c r="U335" s="11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48"/>
      <c r="AP335" s="149"/>
      <c r="AQ335" s="149"/>
      <c r="AR335" s="149"/>
      <c r="AS335" s="149"/>
      <c r="AT335" s="149"/>
    </row>
    <row r="336" spans="20:46" s="12" customFormat="1">
      <c r="T336" s="11"/>
      <c r="U336" s="11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48"/>
      <c r="AP336" s="149"/>
      <c r="AQ336" s="149"/>
      <c r="AR336" s="149"/>
      <c r="AS336" s="149"/>
      <c r="AT336" s="149"/>
    </row>
    <row r="337" spans="20:46" s="12" customFormat="1">
      <c r="T337" s="11"/>
      <c r="U337" s="11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48"/>
      <c r="AP337" s="149"/>
      <c r="AQ337" s="149"/>
      <c r="AR337" s="149"/>
      <c r="AS337" s="149"/>
      <c r="AT337" s="149"/>
    </row>
    <row r="338" spans="20:46" s="12" customFormat="1">
      <c r="T338" s="11"/>
      <c r="U338" s="11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48"/>
      <c r="AP338" s="149"/>
      <c r="AQ338" s="149"/>
      <c r="AR338" s="149"/>
      <c r="AS338" s="149"/>
      <c r="AT338" s="149"/>
    </row>
    <row r="339" spans="20:46" s="12" customFormat="1">
      <c r="T339" s="11"/>
      <c r="U339" s="11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48"/>
      <c r="AP339" s="149"/>
      <c r="AQ339" s="149"/>
      <c r="AR339" s="149"/>
      <c r="AS339" s="149"/>
      <c r="AT339" s="149"/>
    </row>
    <row r="340" spans="20:46" s="12" customFormat="1">
      <c r="T340" s="11"/>
      <c r="U340" s="11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48"/>
      <c r="AP340" s="149"/>
      <c r="AQ340" s="149"/>
      <c r="AR340" s="149"/>
      <c r="AS340" s="149"/>
      <c r="AT340" s="149"/>
    </row>
    <row r="341" spans="20:46" s="12" customFormat="1">
      <c r="T341" s="11"/>
      <c r="U341" s="11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48"/>
      <c r="AP341" s="149"/>
      <c r="AQ341" s="149"/>
      <c r="AR341" s="149"/>
      <c r="AS341" s="149"/>
      <c r="AT341" s="149"/>
    </row>
    <row r="342" spans="20:46" s="12" customFormat="1">
      <c r="T342" s="11"/>
      <c r="U342" s="11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48"/>
      <c r="AP342" s="149"/>
      <c r="AQ342" s="149"/>
      <c r="AR342" s="149"/>
      <c r="AS342" s="149"/>
      <c r="AT342" s="149"/>
    </row>
    <row r="343" spans="20:46" s="12" customFormat="1">
      <c r="T343" s="11"/>
      <c r="U343" s="11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48"/>
      <c r="AP343" s="149"/>
      <c r="AQ343" s="149"/>
      <c r="AR343" s="149"/>
      <c r="AS343" s="149"/>
      <c r="AT343" s="149"/>
    </row>
    <row r="344" spans="20:46" s="12" customFormat="1">
      <c r="T344" s="11"/>
      <c r="U344" s="11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48"/>
      <c r="AP344" s="149"/>
      <c r="AQ344" s="149"/>
      <c r="AR344" s="149"/>
      <c r="AS344" s="149"/>
      <c r="AT344" s="149"/>
    </row>
    <row r="345" spans="20:46" s="12" customFormat="1">
      <c r="T345" s="11"/>
      <c r="U345" s="11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48"/>
      <c r="AP345" s="149"/>
      <c r="AQ345" s="149"/>
      <c r="AR345" s="149"/>
      <c r="AS345" s="149"/>
      <c r="AT345" s="149"/>
    </row>
    <row r="346" spans="20:46" s="12" customFormat="1">
      <c r="T346" s="11"/>
      <c r="U346" s="11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48"/>
      <c r="AP346" s="149"/>
      <c r="AQ346" s="149"/>
      <c r="AR346" s="149"/>
      <c r="AS346" s="149"/>
      <c r="AT346" s="149"/>
    </row>
    <row r="347" spans="20:46" s="12" customFormat="1">
      <c r="T347" s="11"/>
      <c r="U347" s="11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48"/>
      <c r="AP347" s="149"/>
      <c r="AQ347" s="149"/>
      <c r="AR347" s="149"/>
      <c r="AS347" s="149"/>
      <c r="AT347" s="149"/>
    </row>
    <row r="348" spans="20:46" s="12" customFormat="1">
      <c r="T348" s="11"/>
      <c r="U348" s="11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48"/>
      <c r="AP348" s="149"/>
      <c r="AQ348" s="149"/>
      <c r="AR348" s="149"/>
      <c r="AS348" s="149"/>
      <c r="AT348" s="149"/>
    </row>
    <row r="349" spans="20:46" s="12" customFormat="1">
      <c r="T349" s="11"/>
      <c r="U349" s="11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48"/>
      <c r="AP349" s="149"/>
      <c r="AQ349" s="149"/>
      <c r="AR349" s="149"/>
      <c r="AS349" s="149"/>
      <c r="AT349" s="149"/>
    </row>
    <row r="350" spans="20:46" s="12" customFormat="1">
      <c r="T350" s="11"/>
      <c r="U350" s="11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48"/>
      <c r="AP350" s="149"/>
      <c r="AQ350" s="149"/>
      <c r="AR350" s="149"/>
      <c r="AS350" s="149"/>
      <c r="AT350" s="149"/>
    </row>
    <row r="351" spans="20:46" s="12" customFormat="1">
      <c r="T351" s="11"/>
      <c r="U351" s="11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48"/>
      <c r="AP351" s="149"/>
      <c r="AQ351" s="149"/>
      <c r="AR351" s="149"/>
      <c r="AS351" s="149"/>
      <c r="AT351" s="149"/>
    </row>
    <row r="352" spans="20:46" s="12" customFormat="1">
      <c r="T352" s="11"/>
      <c r="U352" s="11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48"/>
      <c r="AP352" s="149"/>
      <c r="AQ352" s="149"/>
      <c r="AR352" s="149"/>
      <c r="AS352" s="149"/>
      <c r="AT352" s="149"/>
    </row>
    <row r="353" spans="20:46" s="12" customFormat="1">
      <c r="T353" s="11"/>
      <c r="U353" s="11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48"/>
      <c r="AP353" s="149"/>
      <c r="AQ353" s="149"/>
      <c r="AR353" s="149"/>
      <c r="AS353" s="149"/>
      <c r="AT353" s="149"/>
    </row>
    <row r="354" spans="20:46" s="12" customFormat="1">
      <c r="T354" s="11"/>
      <c r="U354" s="11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48"/>
      <c r="AP354" s="149"/>
      <c r="AQ354" s="149"/>
      <c r="AR354" s="149"/>
      <c r="AS354" s="149"/>
      <c r="AT354" s="149"/>
    </row>
    <row r="355" spans="20:46" s="12" customFormat="1">
      <c r="T355" s="11"/>
      <c r="U355" s="11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48"/>
      <c r="AP355" s="149"/>
      <c r="AQ355" s="149"/>
      <c r="AR355" s="149"/>
      <c r="AS355" s="149"/>
      <c r="AT355" s="149"/>
    </row>
    <row r="356" spans="20:46" s="12" customFormat="1">
      <c r="T356" s="11"/>
      <c r="U356" s="11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48"/>
      <c r="AP356" s="149"/>
      <c r="AQ356" s="149"/>
      <c r="AR356" s="149"/>
      <c r="AS356" s="149"/>
      <c r="AT356" s="149"/>
    </row>
    <row r="357" spans="20:46" s="12" customFormat="1">
      <c r="T357" s="11"/>
      <c r="U357" s="11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48"/>
      <c r="AP357" s="149"/>
      <c r="AQ357" s="149"/>
      <c r="AR357" s="149"/>
      <c r="AS357" s="149"/>
      <c r="AT357" s="149"/>
    </row>
    <row r="358" spans="20:46" s="12" customFormat="1">
      <c r="T358" s="11"/>
      <c r="U358" s="11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48"/>
      <c r="AP358" s="149"/>
      <c r="AQ358" s="149"/>
      <c r="AR358" s="149"/>
      <c r="AS358" s="149"/>
      <c r="AT358" s="149"/>
    </row>
    <row r="359" spans="20:46" s="12" customFormat="1">
      <c r="T359" s="11"/>
      <c r="U359" s="11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48"/>
      <c r="AP359" s="149"/>
      <c r="AQ359" s="149"/>
      <c r="AR359" s="149"/>
      <c r="AS359" s="149"/>
      <c r="AT359" s="149"/>
    </row>
    <row r="360" spans="20:46" s="12" customFormat="1">
      <c r="T360" s="11"/>
      <c r="U360" s="11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48"/>
      <c r="AP360" s="149"/>
      <c r="AQ360" s="149"/>
      <c r="AR360" s="149"/>
      <c r="AS360" s="149"/>
      <c r="AT360" s="149"/>
    </row>
    <row r="361" spans="20:46" s="12" customFormat="1">
      <c r="T361" s="11"/>
      <c r="U361" s="11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48"/>
      <c r="AP361" s="149"/>
      <c r="AQ361" s="149"/>
      <c r="AR361" s="149"/>
      <c r="AS361" s="149"/>
      <c r="AT361" s="149"/>
    </row>
    <row r="362" spans="20:46" s="12" customFormat="1">
      <c r="T362" s="11"/>
      <c r="U362" s="11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48"/>
      <c r="AP362" s="149"/>
      <c r="AQ362" s="149"/>
      <c r="AR362" s="149"/>
      <c r="AS362" s="149"/>
      <c r="AT362" s="149"/>
    </row>
    <row r="363" spans="20:46" s="12" customFormat="1">
      <c r="T363" s="11"/>
      <c r="U363" s="11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48"/>
      <c r="AP363" s="149"/>
      <c r="AQ363" s="149"/>
      <c r="AR363" s="149"/>
      <c r="AS363" s="149"/>
      <c r="AT363" s="149"/>
    </row>
    <row r="364" spans="20:46" s="12" customFormat="1">
      <c r="T364" s="11"/>
      <c r="U364" s="11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48"/>
      <c r="AP364" s="149"/>
      <c r="AQ364" s="149"/>
      <c r="AR364" s="149"/>
      <c r="AS364" s="149"/>
      <c r="AT364" s="149"/>
    </row>
    <row r="365" spans="20:46" s="12" customFormat="1">
      <c r="T365" s="11"/>
      <c r="U365" s="11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48"/>
      <c r="AP365" s="149"/>
      <c r="AQ365" s="149"/>
      <c r="AR365" s="149"/>
      <c r="AS365" s="149"/>
      <c r="AT365" s="149"/>
    </row>
    <row r="366" spans="20:46" s="12" customFormat="1">
      <c r="T366" s="11"/>
      <c r="U366" s="11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48"/>
      <c r="AP366" s="149"/>
      <c r="AQ366" s="149"/>
      <c r="AR366" s="149"/>
      <c r="AS366" s="149"/>
      <c r="AT366" s="149"/>
    </row>
    <row r="367" spans="20:46" s="12" customFormat="1">
      <c r="T367" s="11"/>
      <c r="U367" s="11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48"/>
      <c r="AP367" s="149"/>
      <c r="AQ367" s="149"/>
      <c r="AR367" s="149"/>
      <c r="AS367" s="149"/>
      <c r="AT367" s="149"/>
    </row>
    <row r="368" spans="20:46" s="12" customFormat="1">
      <c r="T368" s="11"/>
      <c r="U368" s="11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48"/>
      <c r="AP368" s="149"/>
      <c r="AQ368" s="149"/>
      <c r="AR368" s="149"/>
      <c r="AS368" s="149"/>
      <c r="AT368" s="149"/>
    </row>
    <row r="369" spans="20:46" s="12" customFormat="1">
      <c r="T369" s="11"/>
      <c r="U369" s="11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48"/>
      <c r="AP369" s="149"/>
      <c r="AQ369" s="149"/>
      <c r="AR369" s="149"/>
      <c r="AS369" s="149"/>
      <c r="AT369" s="149"/>
    </row>
    <row r="370" spans="20:46" s="12" customFormat="1">
      <c r="T370" s="11"/>
      <c r="U370" s="11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48"/>
      <c r="AP370" s="149"/>
      <c r="AQ370" s="149"/>
      <c r="AR370" s="149"/>
      <c r="AS370" s="149"/>
      <c r="AT370" s="149"/>
    </row>
    <row r="371" spans="20:46" s="12" customFormat="1">
      <c r="T371" s="11"/>
      <c r="U371" s="11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48"/>
      <c r="AP371" s="149"/>
      <c r="AQ371" s="149"/>
      <c r="AR371" s="149"/>
      <c r="AS371" s="149"/>
      <c r="AT371" s="149"/>
    </row>
    <row r="372" spans="20:46" s="12" customFormat="1">
      <c r="T372" s="11"/>
      <c r="U372" s="11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48"/>
      <c r="AP372" s="149"/>
      <c r="AQ372" s="149"/>
      <c r="AR372" s="149"/>
      <c r="AS372" s="149"/>
      <c r="AT372" s="149"/>
    </row>
    <row r="373" spans="20:46" s="12" customFormat="1">
      <c r="T373" s="11"/>
      <c r="U373" s="11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48"/>
      <c r="AP373" s="149"/>
      <c r="AQ373" s="149"/>
      <c r="AR373" s="149"/>
      <c r="AS373" s="149"/>
      <c r="AT373" s="149"/>
    </row>
    <row r="374" spans="20:46" s="12" customFormat="1">
      <c r="T374" s="11"/>
      <c r="U374" s="11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48"/>
      <c r="AP374" s="149"/>
      <c r="AQ374" s="149"/>
      <c r="AR374" s="149"/>
      <c r="AS374" s="149"/>
      <c r="AT374" s="149"/>
    </row>
    <row r="375" spans="20:46" s="12" customFormat="1">
      <c r="T375" s="11"/>
      <c r="U375" s="11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48"/>
      <c r="AP375" s="149"/>
      <c r="AQ375" s="149"/>
      <c r="AR375" s="149"/>
      <c r="AS375" s="149"/>
      <c r="AT375" s="149"/>
    </row>
    <row r="376" spans="20:46" s="12" customFormat="1">
      <c r="T376" s="11"/>
      <c r="U376" s="11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48"/>
      <c r="AP376" s="149"/>
      <c r="AQ376" s="149"/>
      <c r="AR376" s="149"/>
      <c r="AS376" s="149"/>
      <c r="AT376" s="149"/>
    </row>
    <row r="377" spans="20:46" s="12" customFormat="1">
      <c r="T377" s="11"/>
      <c r="U377" s="11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48"/>
      <c r="AP377" s="149"/>
      <c r="AQ377" s="149"/>
      <c r="AR377" s="149"/>
      <c r="AS377" s="149"/>
      <c r="AT377" s="149"/>
    </row>
    <row r="378" spans="20:46" s="12" customFormat="1">
      <c r="T378" s="11"/>
      <c r="U378" s="11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48"/>
      <c r="AP378" s="149"/>
      <c r="AQ378" s="149"/>
      <c r="AR378" s="149"/>
      <c r="AS378" s="149"/>
      <c r="AT378" s="149"/>
    </row>
    <row r="379" spans="20:46" s="12" customFormat="1">
      <c r="T379" s="11"/>
      <c r="U379" s="11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48"/>
      <c r="AP379" s="149"/>
      <c r="AQ379" s="149"/>
      <c r="AR379" s="149"/>
      <c r="AS379" s="149"/>
      <c r="AT379" s="149"/>
    </row>
    <row r="380" spans="20:46" s="12" customFormat="1">
      <c r="T380" s="11"/>
      <c r="U380" s="11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48"/>
      <c r="AP380" s="149"/>
      <c r="AQ380" s="149"/>
      <c r="AR380" s="149"/>
      <c r="AS380" s="149"/>
      <c r="AT380" s="149"/>
    </row>
    <row r="381" spans="20:46" s="12" customFormat="1">
      <c r="T381" s="11"/>
      <c r="U381" s="11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48"/>
      <c r="AP381" s="149"/>
      <c r="AQ381" s="149"/>
      <c r="AR381" s="149"/>
      <c r="AS381" s="149"/>
      <c r="AT381" s="149"/>
    </row>
    <row r="382" spans="20:46" s="12" customFormat="1">
      <c r="T382" s="11"/>
      <c r="U382" s="11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48"/>
      <c r="AP382" s="149"/>
      <c r="AQ382" s="149"/>
      <c r="AR382" s="149"/>
      <c r="AS382" s="149"/>
      <c r="AT382" s="149"/>
    </row>
    <row r="383" spans="20:46" s="12" customFormat="1">
      <c r="T383" s="11"/>
      <c r="U383" s="11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48"/>
      <c r="AP383" s="149"/>
      <c r="AQ383" s="149"/>
      <c r="AR383" s="149"/>
      <c r="AS383" s="149"/>
      <c r="AT383" s="149"/>
    </row>
    <row r="384" spans="20:46" s="12" customFormat="1">
      <c r="T384" s="11"/>
      <c r="U384" s="11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48"/>
      <c r="AP384" s="149"/>
      <c r="AQ384" s="149"/>
      <c r="AR384" s="149"/>
      <c r="AS384" s="149"/>
      <c r="AT384" s="149"/>
    </row>
    <row r="385" spans="20:46" s="12" customFormat="1">
      <c r="T385" s="11"/>
      <c r="U385" s="11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48"/>
      <c r="AP385" s="149"/>
      <c r="AQ385" s="149"/>
      <c r="AR385" s="149"/>
      <c r="AS385" s="149"/>
      <c r="AT385" s="149"/>
    </row>
    <row r="386" spans="20:46" s="12" customFormat="1">
      <c r="T386" s="11"/>
      <c r="U386" s="11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48"/>
      <c r="AP386" s="149"/>
      <c r="AQ386" s="149"/>
      <c r="AR386" s="149"/>
      <c r="AS386" s="149"/>
      <c r="AT386" s="149"/>
    </row>
    <row r="387" spans="20:46" s="12" customFormat="1">
      <c r="T387" s="11"/>
      <c r="U387" s="11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48"/>
      <c r="AP387" s="149"/>
      <c r="AQ387" s="149"/>
      <c r="AR387" s="149"/>
      <c r="AS387" s="149"/>
      <c r="AT387" s="149"/>
    </row>
    <row r="388" spans="20:46" s="12" customFormat="1">
      <c r="T388" s="11"/>
      <c r="U388" s="11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48"/>
      <c r="AP388" s="149"/>
      <c r="AQ388" s="149"/>
      <c r="AR388" s="149"/>
      <c r="AS388" s="149"/>
      <c r="AT388" s="149"/>
    </row>
    <row r="389" spans="20:46" s="12" customFormat="1">
      <c r="T389" s="11"/>
      <c r="U389" s="11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48"/>
      <c r="AP389" s="149"/>
      <c r="AQ389" s="149"/>
      <c r="AR389" s="149"/>
      <c r="AS389" s="149"/>
      <c r="AT389" s="149"/>
    </row>
    <row r="390" spans="20:46" s="12" customFormat="1">
      <c r="T390" s="11"/>
      <c r="U390" s="11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48"/>
      <c r="AP390" s="149"/>
      <c r="AQ390" s="149"/>
      <c r="AR390" s="149"/>
      <c r="AS390" s="149"/>
      <c r="AT390" s="149"/>
    </row>
    <row r="391" spans="20:46" s="12" customFormat="1">
      <c r="T391" s="11"/>
      <c r="U391" s="11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48"/>
      <c r="AP391" s="149"/>
      <c r="AQ391" s="149"/>
      <c r="AR391" s="149"/>
      <c r="AS391" s="149"/>
      <c r="AT391" s="149"/>
    </row>
    <row r="392" spans="20:46" s="12" customFormat="1">
      <c r="T392" s="11"/>
      <c r="U392" s="11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48"/>
      <c r="AP392" s="149"/>
      <c r="AQ392" s="149"/>
      <c r="AR392" s="149"/>
      <c r="AS392" s="149"/>
      <c r="AT392" s="149"/>
    </row>
    <row r="393" spans="20:46" s="12" customFormat="1">
      <c r="T393" s="11"/>
      <c r="U393" s="11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48"/>
      <c r="AP393" s="149"/>
      <c r="AQ393" s="149"/>
      <c r="AR393" s="149"/>
      <c r="AS393" s="149"/>
      <c r="AT393" s="149"/>
    </row>
    <row r="394" spans="20:46" s="12" customFormat="1">
      <c r="T394" s="11"/>
      <c r="U394" s="11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48"/>
      <c r="AP394" s="149"/>
      <c r="AQ394" s="149"/>
      <c r="AR394" s="149"/>
      <c r="AS394" s="149"/>
      <c r="AT394" s="149"/>
    </row>
    <row r="395" spans="20:46" s="12" customFormat="1">
      <c r="T395" s="11"/>
      <c r="U395" s="11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48"/>
      <c r="AP395" s="149"/>
      <c r="AQ395" s="149"/>
      <c r="AR395" s="149"/>
      <c r="AS395" s="149"/>
      <c r="AT395" s="149"/>
    </row>
    <row r="396" spans="20:46" s="12" customFormat="1">
      <c r="T396" s="11"/>
      <c r="U396" s="11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48"/>
      <c r="AP396" s="149"/>
      <c r="AQ396" s="149"/>
      <c r="AR396" s="149"/>
      <c r="AS396" s="149"/>
      <c r="AT396" s="149"/>
    </row>
    <row r="397" spans="20:46" s="12" customFormat="1">
      <c r="T397" s="11"/>
      <c r="U397" s="11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48"/>
      <c r="AP397" s="149"/>
      <c r="AQ397" s="149"/>
      <c r="AR397" s="149"/>
      <c r="AS397" s="149"/>
      <c r="AT397" s="149"/>
    </row>
    <row r="398" spans="20:46" s="12" customFormat="1">
      <c r="T398" s="11"/>
      <c r="U398" s="11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48"/>
      <c r="AP398" s="149"/>
      <c r="AQ398" s="149"/>
      <c r="AR398" s="149"/>
      <c r="AS398" s="149"/>
      <c r="AT398" s="149"/>
    </row>
    <row r="399" spans="20:46" s="12" customFormat="1">
      <c r="T399" s="11"/>
      <c r="U399" s="11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48"/>
      <c r="AP399" s="149"/>
      <c r="AQ399" s="149"/>
      <c r="AR399" s="149"/>
      <c r="AS399" s="149"/>
      <c r="AT399" s="149"/>
    </row>
    <row r="400" spans="20:46" s="12" customFormat="1">
      <c r="T400" s="11"/>
      <c r="U400" s="11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48"/>
      <c r="AP400" s="149"/>
      <c r="AQ400" s="149"/>
      <c r="AR400" s="149"/>
      <c r="AS400" s="149"/>
      <c r="AT400" s="149"/>
    </row>
    <row r="401" spans="20:46" s="12" customFormat="1">
      <c r="T401" s="11"/>
      <c r="U401" s="11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48"/>
      <c r="AP401" s="149"/>
      <c r="AQ401" s="149"/>
      <c r="AR401" s="149"/>
      <c r="AS401" s="149"/>
      <c r="AT401" s="149"/>
    </row>
    <row r="402" spans="20:46" s="12" customFormat="1">
      <c r="T402" s="11"/>
      <c r="U402" s="11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48"/>
      <c r="AP402" s="149"/>
      <c r="AQ402" s="149"/>
      <c r="AR402" s="149"/>
      <c r="AS402" s="149"/>
      <c r="AT402" s="149"/>
    </row>
  </sheetData>
  <sheetProtection algorithmName="SHA-512" hashValue="nzUG9rJOe3aFoF3XF4KLE/s0n2K5X1MhttDnRbNb70mQxzgUr6sSXDo4O59LKPWl13oxBBcSE3JG9B0mwq8gqQ==" saltValue="RKWPDzdKlWT5M8JTtVFf0g==" spinCount="100000" sheet="1" objects="1" scenarios="1"/>
  <sortState ref="Q42:Q59">
    <sortCondition ref="Q42"/>
  </sortState>
  <mergeCells count="8">
    <mergeCell ref="R80:S80"/>
    <mergeCell ref="B14:B15"/>
    <mergeCell ref="U4:AD4"/>
    <mergeCell ref="AF4:AM4"/>
    <mergeCell ref="Q61:S61"/>
    <mergeCell ref="Q68:S70"/>
    <mergeCell ref="B6:Q9"/>
    <mergeCell ref="E19:L20"/>
  </mergeCells>
  <conditionalFormatting sqref="N25:N32">
    <cfRule type="expression" dxfId="7" priority="8">
      <formula>D25+D25=0</formula>
    </cfRule>
  </conditionalFormatting>
  <conditionalFormatting sqref="C15">
    <cfRule type="expression" dxfId="6" priority="5">
      <formula>$C$13="BR-CORTE 2010"</formula>
    </cfRule>
    <cfRule type="expression" dxfId="5" priority="7">
      <formula>$C$14="Zebuíno"</formula>
    </cfRule>
  </conditionalFormatting>
  <conditionalFormatting sqref="C20">
    <cfRule type="expression" dxfId="4" priority="4">
      <formula>$C$20&lt;0</formula>
    </cfRule>
  </conditionalFormatting>
  <conditionalFormatting sqref="C21">
    <cfRule type="expression" dxfId="3" priority="3">
      <formula>$C$21&lt;=0</formula>
    </cfRule>
  </conditionalFormatting>
  <conditionalFormatting sqref="C18">
    <cfRule type="expression" dxfId="2" priority="2">
      <formula>$C$18&lt;=0</formula>
    </cfRule>
  </conditionalFormatting>
  <conditionalFormatting sqref="H51">
    <cfRule type="expression" dxfId="1" priority="1">
      <formula>$H$51=0</formula>
    </cfRule>
  </conditionalFormatting>
  <conditionalFormatting sqref="N39:N40">
    <cfRule type="expression" dxfId="0" priority="10">
      <formula>D33+D33=0</formula>
    </cfRule>
  </conditionalFormatting>
  <dataValidations count="5">
    <dataValidation type="list" allowBlank="1" showInputMessage="1" showErrorMessage="1" sqref="C25:C32">
      <formula1>$B$1:$D$1</formula1>
    </dataValidation>
    <dataValidation type="list" allowBlank="1" showInputMessage="1" showErrorMessage="1" sqref="Q25:Q32">
      <formula1>$D$1:$F$1</formula1>
    </dataValidation>
    <dataValidation type="list" allowBlank="1" showInputMessage="1" showErrorMessage="1" sqref="C13">
      <formula1>$I$1:$J$1</formula1>
    </dataValidation>
    <dataValidation type="list" allowBlank="1" showErrorMessage="1" sqref="C14">
      <formula1>$P$1:$Q$1</formula1>
    </dataValidation>
    <dataValidation type="list" allowBlank="1" showInputMessage="1" showErrorMessage="1" sqref="C15">
      <formula1>$M$1:$N$1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Energy value prediction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Microsoft Office</dc:creator>
  <cp:lastModifiedBy>Laura Franco Prados</cp:lastModifiedBy>
  <dcterms:created xsi:type="dcterms:W3CDTF">2016-10-24T16:42:00Z</dcterms:created>
  <dcterms:modified xsi:type="dcterms:W3CDTF">2016-10-28T16:37:40Z</dcterms:modified>
</cp:coreProperties>
</file>